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86" windowWidth="27210" windowHeight="8280" activeTab="0"/>
  </bookViews>
  <sheets>
    <sheet name="flash dati distretto" sheetId="1" r:id="rId1"/>
    <sheet name="dati Area Minori e Famiglie" sheetId="2" r:id="rId2"/>
    <sheet name="dati Area Adulti " sheetId="3" r:id="rId3"/>
    <sheet name="dati Area Anziani" sheetId="4" r:id="rId4"/>
    <sheet name="dati Area Disabilità" sheetId="5" r:id="rId5"/>
  </sheets>
  <externalReferences>
    <externalReference r:id="rId8"/>
  </externalReferences>
  <definedNames>
    <definedName name="_xlnm._FilterDatabase" localSheetId="2" hidden="1">'dati Area Adulti '!$A$3:$AF$102</definedName>
    <definedName name="_xlnm.Print_Area" localSheetId="2">'dati Area Adulti '!$A$2:$AA$102</definedName>
  </definedNames>
  <calcPr fullCalcOnLoad="1"/>
</workbook>
</file>

<file path=xl/comments1.xml><?xml version="1.0" encoding="utf-8"?>
<comments xmlns="http://schemas.openxmlformats.org/spreadsheetml/2006/main">
  <authors>
    <author>Michele Peri</author>
  </authors>
  <commentList>
    <comment ref="J36" authorId="0">
      <text>
        <r>
          <rPr>
            <sz val="11"/>
            <rFont val="Tahoma"/>
            <family val="0"/>
          </rPr>
          <t xml:space="preserve">parte del costo e' stato sovvenzionato dal Fondo Regionale per la Non Autosufficienza
</t>
        </r>
      </text>
    </comment>
    <comment ref="J54" authorId="0">
      <text>
        <r>
          <rPr>
            <sz val="11"/>
            <rFont val="Tahoma"/>
            <family val="0"/>
          </rPr>
          <t xml:space="preserve">parte del costo e' stato sovvenzionato dal Fondo Regionale per la Non Autosufficienza
</t>
        </r>
      </text>
    </comment>
    <comment ref="C6" authorId="0">
      <text>
        <r>
          <rPr>
            <sz val="11"/>
            <rFont val="Tahoma"/>
            <family val="2"/>
          </rPr>
          <t>dal 2013 il servizio è stato ampliato da una a tre strutture</t>
        </r>
        <r>
          <rPr>
            <sz val="11"/>
            <rFont val="Tahoma"/>
            <family val="0"/>
          </rPr>
          <t xml:space="preserve">
</t>
        </r>
      </text>
    </comment>
    <comment ref="C17" authorId="0">
      <text>
        <r>
          <rPr>
            <sz val="11"/>
            <rFont val="Tahoma"/>
            <family val="0"/>
          </rPr>
          <t xml:space="preserve">dal 2013 è cambiata la metodologia di intervento
</t>
        </r>
      </text>
    </comment>
    <comment ref="K56" authorId="0">
      <text>
        <r>
          <rPr>
            <sz val="11"/>
            <rFont val="Tahoma"/>
            <family val="2"/>
          </rPr>
          <t xml:space="preserve">il dato è relativo solo ai week end autonomia </t>
        </r>
        <r>
          <rPr>
            <sz val="11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Silvia Malaspina</author>
    <author>Michele Peri</author>
    <author>morpheus</author>
    <author>mperi</author>
  </authors>
  <commentList>
    <comment ref="D93" authorId="0">
      <text>
        <r>
          <rPr>
            <b/>
            <sz val="9"/>
            <rFont val="Tahoma"/>
            <family val="0"/>
          </rPr>
          <t>Silvia Malaspina:</t>
        </r>
        <r>
          <rPr>
            <sz val="9"/>
            <rFont val="Tahoma"/>
            <family val="0"/>
          </rPr>
          <t xml:space="preserve">
BUONI SPESA DA 25 EURO NOMINALI</t>
        </r>
      </text>
    </comment>
    <comment ref="E15" authorId="0">
      <text>
        <r>
          <rPr>
            <b/>
            <sz val="9"/>
            <rFont val="Tahoma"/>
            <family val="0"/>
          </rPr>
          <t>Silvia Malaspina:</t>
        </r>
        <r>
          <rPr>
            <sz val="9"/>
            <rFont val="Tahoma"/>
            <family val="0"/>
          </rPr>
          <t xml:space="preserve">
incontri, domande lavorate, colloqui, conferenze
</t>
        </r>
      </text>
    </comment>
    <comment ref="I193" authorId="1">
      <text>
        <r>
          <rPr>
            <sz val="11"/>
            <rFont val="Tahoma"/>
            <family val="0"/>
          </rPr>
          <t xml:space="preserve">significativa incidenza del canone residuo anno 2011
</t>
        </r>
      </text>
    </comment>
    <comment ref="I195" authorId="1">
      <text>
        <r>
          <rPr>
            <sz val="11"/>
            <rFont val="Tahoma"/>
            <family val="2"/>
          </rPr>
          <t>significativa incidenza del canone residuo anno 2011</t>
        </r>
        <r>
          <rPr>
            <sz val="11"/>
            <rFont val="Tahoma"/>
            <family val="0"/>
          </rPr>
          <t xml:space="preserve">
</t>
        </r>
      </text>
    </comment>
    <comment ref="I199" authorId="1">
      <text>
        <r>
          <rPr>
            <sz val="11"/>
            <rFont val="Tahoma"/>
            <family val="0"/>
          </rPr>
          <t xml:space="preserve">significativa incidenza del canone residuo anno 2011
</t>
        </r>
      </text>
    </comment>
    <comment ref="I224" authorId="1">
      <text>
        <r>
          <rPr>
            <sz val="11"/>
            <rFont val="Tahoma"/>
            <family val="2"/>
          </rPr>
          <t>significativa incidenza del canone residuo anno 2011</t>
        </r>
        <r>
          <rPr>
            <sz val="11"/>
            <rFont val="Tahoma"/>
            <family val="0"/>
          </rPr>
          <t xml:space="preserve">
</t>
        </r>
      </text>
    </comment>
    <comment ref="A37" authorId="1">
      <text>
        <r>
          <rPr>
            <sz val="11"/>
            <rFont val="Tahoma"/>
            <family val="0"/>
          </rPr>
          <t xml:space="preserve">dal 2013 il servizio è stato ampliato da una a tre strutture
</t>
        </r>
      </text>
    </comment>
    <comment ref="A160" authorId="1">
      <text>
        <r>
          <rPr>
            <sz val="11"/>
            <rFont val="Tahoma"/>
            <family val="0"/>
          </rPr>
          <t xml:space="preserve">dal 2013 è cambiata la metodologia di intervento
</t>
        </r>
      </text>
    </comment>
    <comment ref="S48" authorId="2">
      <text>
        <r>
          <rPr>
            <sz val="10"/>
            <rFont val="Helevetica"/>
            <family val="0"/>
          </rPr>
          <t>incidono per l'intero anno i costi del secondo appartamento di  Borgo Zola</t>
        </r>
        <r>
          <rPr>
            <sz val="12"/>
            <rFont val="Tahoma"/>
            <family val="2"/>
          </rPr>
          <t xml:space="preserve"> </t>
        </r>
        <r>
          <rPr>
            <sz val="8"/>
            <rFont val="Tahoma"/>
            <family val="0"/>
          </rPr>
          <t xml:space="preserve">
</t>
        </r>
      </text>
    </comment>
    <comment ref="A193" authorId="3">
      <text>
        <r>
          <rPr>
            <b/>
            <sz val="9"/>
            <rFont val="Tahoma"/>
            <family val="0"/>
          </rPr>
          <t>mperi:</t>
        </r>
        <r>
          <rPr>
            <sz val="9"/>
            <rFont val="Tahoma"/>
            <family val="0"/>
          </rPr>
          <t xml:space="preserve">
dal 2016 nell'area disabilità insieme ai disabili adulti
</t>
        </r>
      </text>
    </comment>
  </commentList>
</comments>
</file>

<file path=xl/comments3.xml><?xml version="1.0" encoding="utf-8"?>
<comments xmlns="http://schemas.openxmlformats.org/spreadsheetml/2006/main">
  <authors>
    <author>Michele Peri</author>
    <author>3cimeadm</author>
    <author>mperi</author>
  </authors>
  <commentList>
    <comment ref="I91" authorId="0">
      <text>
        <r>
          <rPr>
            <sz val="11"/>
            <rFont val="Tahoma"/>
            <family val="0"/>
          </rPr>
          <t xml:space="preserve">parte del costo è stato sovvenzionato dal Fondo Regionale per la Non Autosufficienza
</t>
        </r>
      </text>
    </comment>
    <comment ref="J16" authorId="0">
      <text>
        <r>
          <rPr>
            <sz val="11"/>
            <rFont val="Tahoma"/>
            <family val="2"/>
          </rPr>
          <t>il dato si riferisce esclusivamente all'attività di sportello diventata distrettuale</t>
        </r>
        <r>
          <rPr>
            <sz val="11"/>
            <rFont val="Tahoma"/>
            <family val="0"/>
          </rPr>
          <t xml:space="preserve">
</t>
        </r>
      </text>
    </comment>
    <comment ref="O16" authorId="0">
      <text>
        <r>
          <rPr>
            <sz val="11"/>
            <rFont val="Tahoma"/>
            <family val="2"/>
          </rPr>
          <t>il dato si riferisce esclusivamente all'attività di sportello diventata distrettuale</t>
        </r>
        <r>
          <rPr>
            <sz val="11"/>
            <rFont val="Tahoma"/>
            <family val="0"/>
          </rPr>
          <t xml:space="preserve">
</t>
        </r>
      </text>
    </comment>
    <comment ref="N91" authorId="0">
      <text>
        <r>
          <rPr>
            <sz val="11"/>
            <rFont val="Tahoma"/>
            <family val="0"/>
          </rPr>
          <t xml:space="preserve">parte del costo è stato sovvenzionato dal Fondo Regionale per la Non Autosufficienza
</t>
        </r>
      </text>
    </comment>
    <comment ref="T28" authorId="1">
      <text>
        <r>
          <rPr>
            <b/>
            <sz val="8"/>
            <rFont val="Tahoma"/>
            <family val="0"/>
          </rPr>
          <t>3cimeadm:</t>
        </r>
        <r>
          <rPr>
            <sz val="8"/>
            <rFont val="Tahoma"/>
            <family val="0"/>
          </rPr>
          <t xml:space="preserve">
19 incontri</t>
        </r>
      </text>
    </comment>
    <comment ref="T29" authorId="1">
      <text>
        <r>
          <rPr>
            <b/>
            <sz val="8"/>
            <rFont val="Tahoma"/>
            <family val="0"/>
          </rPr>
          <t>3cimeadm:</t>
        </r>
        <r>
          <rPr>
            <sz val="8"/>
            <rFont val="Tahoma"/>
            <family val="0"/>
          </rPr>
          <t xml:space="preserve">
19 incontri
</t>
        </r>
      </text>
    </comment>
    <comment ref="T31" authorId="1">
      <text>
        <r>
          <rPr>
            <b/>
            <sz val="8"/>
            <rFont val="Tahoma"/>
            <family val="0"/>
          </rPr>
          <t>3cimeadm:</t>
        </r>
        <r>
          <rPr>
            <sz val="8"/>
            <rFont val="Tahoma"/>
            <family val="0"/>
          </rPr>
          <t xml:space="preserve">
23 incontri</t>
        </r>
      </text>
    </comment>
    <comment ref="T33" authorId="1">
      <text>
        <r>
          <rPr>
            <b/>
            <sz val="8"/>
            <rFont val="Tahoma"/>
            <family val="0"/>
          </rPr>
          <t>3cimeadm:</t>
        </r>
        <r>
          <rPr>
            <sz val="8"/>
            <rFont val="Tahoma"/>
            <family val="0"/>
          </rPr>
          <t xml:space="preserve">
23 incontri</t>
        </r>
      </text>
    </comment>
    <comment ref="N26" authorId="1">
      <text>
        <r>
          <rPr>
            <b/>
            <sz val="8"/>
            <rFont val="Tahoma"/>
            <family val="0"/>
          </rPr>
          <t>3cimeadm:</t>
        </r>
        <r>
          <rPr>
            <sz val="8"/>
            <rFont val="Tahoma"/>
            <family val="0"/>
          </rPr>
          <t xml:space="preserve">
cancellati gli importi del 2013 perché sbagliati</t>
        </r>
      </text>
    </comment>
    <comment ref="S36" authorId="1">
      <text>
        <r>
          <rPr>
            <b/>
            <sz val="8"/>
            <rFont val="Tahoma"/>
            <family val="0"/>
          </rPr>
          <t>3cimeadm:</t>
        </r>
        <r>
          <rPr>
            <sz val="8"/>
            <rFont val="Tahoma"/>
            <family val="0"/>
          </rPr>
          <t xml:space="preserve">
concordato con Michele di non indicare gli importi</t>
        </r>
      </text>
    </comment>
    <comment ref="A26" authorId="2">
      <text>
        <r>
          <rPr>
            <b/>
            <sz val="9"/>
            <rFont val="Tahoma"/>
            <family val="0"/>
          </rPr>
          <t>mperi:</t>
        </r>
        <r>
          <rPr>
            <sz val="9"/>
            <rFont val="Tahoma"/>
            <family val="0"/>
          </rPr>
          <t xml:space="preserve">
dal 2016 sono conteggiate anche le ore di coordinamento</t>
        </r>
      </text>
    </comment>
  </commentList>
</comments>
</file>

<file path=xl/comments4.xml><?xml version="1.0" encoding="utf-8"?>
<comments xmlns="http://schemas.openxmlformats.org/spreadsheetml/2006/main">
  <authors>
    <author>3cimeadm</author>
  </authors>
  <commentList>
    <comment ref="B92" authorId="0">
      <text>
        <r>
          <rPr>
            <sz val="11"/>
            <rFont val="Tahoma"/>
            <family val="2"/>
          </rPr>
          <t xml:space="preserve">il dato si riferisce alla gestione di Villa Magri
</t>
        </r>
      </text>
    </comment>
    <comment ref="H35" authorId="0">
      <text>
        <r>
          <rPr>
            <b/>
            <sz val="8"/>
            <rFont val="Tahoma"/>
            <family val="0"/>
          </rPr>
          <t>non sono disponibili i dati per Comune</t>
        </r>
      </text>
    </comment>
  </commentList>
</comments>
</file>

<file path=xl/comments5.xml><?xml version="1.0" encoding="utf-8"?>
<comments xmlns="http://schemas.openxmlformats.org/spreadsheetml/2006/main">
  <authors>
    <author>Michele Peri</author>
    <author>3cimeadm</author>
    <author>mperi</author>
  </authors>
  <commentList>
    <comment ref="I24" authorId="0">
      <text>
        <r>
          <rPr>
            <sz val="11"/>
            <rFont val="Tahoma"/>
            <family val="2"/>
          </rPr>
          <t>parte del costo è' stato sovvenzionato dal Fondo Regionale per la Non Autosufficienza</t>
        </r>
        <r>
          <rPr>
            <sz val="11"/>
            <rFont val="Tahoma"/>
            <family val="0"/>
          </rPr>
          <t xml:space="preserve">
</t>
        </r>
      </text>
    </comment>
    <comment ref="A14" authorId="0">
      <text>
        <r>
          <rPr>
            <sz val="11"/>
            <rFont val="Tahoma"/>
            <family val="0"/>
          </rPr>
          <t xml:space="preserve">nel 2011 e 2012 sono state escluse dalla rilevazione alcune attività di gruppo </t>
        </r>
      </text>
    </comment>
    <comment ref="J46" authorId="1">
      <text>
        <r>
          <rPr>
            <sz val="11"/>
            <rFont val="Arial"/>
            <family val="2"/>
          </rPr>
          <t xml:space="preserve">il dato è relativo solo ai week end autonomia </t>
        </r>
      </text>
    </comment>
    <comment ref="I13" authorId="0">
      <text>
        <r>
          <rPr>
            <sz val="11"/>
            <rFont val="Tahoma"/>
            <family val="2"/>
          </rPr>
          <t>parte del costo è' stato sovvenzionato dal Fondo Regionale per la Non Autosufficienza</t>
        </r>
        <r>
          <rPr>
            <sz val="11"/>
            <rFont val="Tahoma"/>
            <family val="0"/>
          </rPr>
          <t xml:space="preserve">
</t>
        </r>
      </text>
    </comment>
    <comment ref="A3" authorId="2">
      <text>
        <r>
          <rPr>
            <b/>
            <sz val="9"/>
            <rFont val="Tahoma"/>
            <family val="0"/>
          </rPr>
          <t>mperi:</t>
        </r>
        <r>
          <rPr>
            <sz val="9"/>
            <rFont val="Tahoma"/>
            <family val="0"/>
          </rPr>
          <t xml:space="preserve">
dal 2016 comprende anche i disabili minori
</t>
        </r>
      </text>
    </comment>
  </commentList>
</comments>
</file>

<file path=xl/sharedStrings.xml><?xml version="1.0" encoding="utf-8"?>
<sst xmlns="http://schemas.openxmlformats.org/spreadsheetml/2006/main" count="1144" uniqueCount="103">
  <si>
    <t>DIMISSIONI PROTETTE</t>
  </si>
  <si>
    <t>ASSISTENZA DOMICILIARE E ADI</t>
  </si>
  <si>
    <t>FORNITURA PASTI</t>
  </si>
  <si>
    <t>TRASPORTO</t>
  </si>
  <si>
    <t>CENTRI DIURNI</t>
  </si>
  <si>
    <t>CASA PROTETTA</t>
  </si>
  <si>
    <t>CONTRIBUTI ECONOMICI</t>
  </si>
  <si>
    <t xml:space="preserve">RETTE RESIDENZIALI </t>
  </si>
  <si>
    <t>AMMINISTRATORI DI SOSTEGNO</t>
  </si>
  <si>
    <t>ANNO 2011</t>
  </si>
  <si>
    <t>BAZZANO</t>
  </si>
  <si>
    <t>CASALECCHIO DI RENO</t>
  </si>
  <si>
    <t>CASTELLO DI SERRAVALLE</t>
  </si>
  <si>
    <t>CRESPELLANO</t>
  </si>
  <si>
    <t>MONTE SAN PIETRO</t>
  </si>
  <si>
    <t>MONTEVEGLIO</t>
  </si>
  <si>
    <t>SASSO MARCONI</t>
  </si>
  <si>
    <t>SAVIGNO</t>
  </si>
  <si>
    <t>ZOLA PREDOSA</t>
  </si>
  <si>
    <t>TOTALE DISTRETTO</t>
  </si>
  <si>
    <t>ANNO 2012</t>
  </si>
  <si>
    <t>TEMPO LIBERO</t>
  </si>
  <si>
    <t>VITA INDIPENDENTE</t>
  </si>
  <si>
    <t>RESIDENZE</t>
  </si>
  <si>
    <t>BORSE LAVORO</t>
  </si>
  <si>
    <t>CONTRIBUTI DISABILI</t>
  </si>
  <si>
    <t>CONTRIBUTI SOGGIORNI ESTIVI</t>
  </si>
  <si>
    <t>CONTRIBUTI</t>
  </si>
  <si>
    <t>RETTE RESIDENZIALI</t>
  </si>
  <si>
    <t>Numero Utenti</t>
  </si>
  <si>
    <t>Risorse dedicate/numero di utenti</t>
  </si>
  <si>
    <t>Servizi richiesti/servizi erogati</t>
  </si>
  <si>
    <t>Giornate frequenza/giornate apertura</t>
  </si>
  <si>
    <t>AREA ANZIANI</t>
  </si>
  <si>
    <t>AREA MINORI E FAMIGLIE</t>
  </si>
  <si>
    <t>AREA ADULTI</t>
  </si>
  <si>
    <t>AREA DISABILITA'</t>
  </si>
  <si>
    <t>CENTRO PER LE FAMIGLIE</t>
  </si>
  <si>
    <t>PROGETTO AAA</t>
  </si>
  <si>
    <t>SERVIZIO AFFIDO</t>
  </si>
  <si>
    <t>EDUCAZIONE AL LAVORO</t>
  </si>
  <si>
    <t>INTERVENTI EDUCATIVI INDIVIDUALI</t>
  </si>
  <si>
    <t>INCONTRI PROTETTI</t>
  </si>
  <si>
    <t>TEMPO LIBERO MINORI DISABILI</t>
  </si>
  <si>
    <t>SERVIZIO FAMIGLIE ACCOGLIENTI</t>
  </si>
  <si>
    <t>BUONI SPESA</t>
  </si>
  <si>
    <t xml:space="preserve">ESONERI </t>
  </si>
  <si>
    <t xml:space="preserve">CENTRI ESTIVI </t>
  </si>
  <si>
    <t>ACCOMPAGNAMENTO SCOLASTICO</t>
  </si>
  <si>
    <t>EDUCATIVA SCOLASTICA</t>
  </si>
  <si>
    <t>PRIS</t>
  </si>
  <si>
    <t>PROVVEDIMENTI GIUDIZIALI</t>
  </si>
  <si>
    <t>PROGETTO SEMENZAIO</t>
  </si>
  <si>
    <t>CONTRIBUTI E BUONI SPESA</t>
  </si>
  <si>
    <t>POSTI LETTO IN APPARTAMENTO</t>
  </si>
  <si>
    <t>LABORATORI</t>
  </si>
  <si>
    <t>CONTRIBUTI LEGGE REGIONALE 29/97</t>
  </si>
  <si>
    <t>INTERVENTI  DI GRUPPO</t>
  </si>
  <si>
    <t>Quantità erogata/numero di utenti</t>
  </si>
  <si>
    <t>RETTE          RESIDENZIALI</t>
  </si>
  <si>
    <t>INCONTRI               PROTETTI</t>
  </si>
  <si>
    <t>CONTRIBUTI E          BUONI SPESA</t>
  </si>
  <si>
    <t>RETTE               RESIDENZIALI</t>
  </si>
  <si>
    <t>RETTE             RESIDENZIALI</t>
  </si>
  <si>
    <t>VITA            INDIPENDENTE</t>
  </si>
  <si>
    <t>BORSE LAVORO ADULTI CON MINORI</t>
  </si>
  <si>
    <t>PROGETTI SOVRACOMUNALI</t>
  </si>
  <si>
    <t>CASA ACCOGLIENZA DONNE</t>
  </si>
  <si>
    <t>MEDIAZIONE INTERCULTURALE</t>
  </si>
  <si>
    <t>PRESTITI SULL'ONORE</t>
  </si>
  <si>
    <t xml:space="preserve">PROGETTO AAA  </t>
  </si>
  <si>
    <t xml:space="preserve"> </t>
  </si>
  <si>
    <t>WEEK END AUTONOMIA E SOLLIEVO</t>
  </si>
  <si>
    <t>WEK END AUTONOMIA E SOLLIEVO</t>
  </si>
  <si>
    <t>indicatori di efficacia</t>
  </si>
  <si>
    <t>indicatori di efficienza</t>
  </si>
  <si>
    <t>ANNO 2013</t>
  </si>
  <si>
    <t>BORGO SOLIDALI</t>
  </si>
  <si>
    <t>BORGHI SOLIDALI</t>
  </si>
  <si>
    <t>BADANDO SEMPRE</t>
  </si>
  <si>
    <t>BADANDO FAMIGLIE</t>
  </si>
  <si>
    <t>BADANDO ASSISTENTI</t>
  </si>
  <si>
    <t>PRESA IN CARICO SOCIALE</t>
  </si>
  <si>
    <t>ANNO 2014</t>
  </si>
  <si>
    <t>TIROCINI</t>
  </si>
  <si>
    <t xml:space="preserve">TIROCINI </t>
  </si>
  <si>
    <t>PROVVEDIMENTI GIUDIZIARI</t>
  </si>
  <si>
    <t>TUTTI A CASA</t>
  </si>
  <si>
    <t>BORSE LAVORO E INTERVENTI LAVORO</t>
  </si>
  <si>
    <t>ANNO 2015</t>
  </si>
  <si>
    <t>VALSAMOGGIA</t>
  </si>
  <si>
    <t>CONTRIBUTI  DISABILI</t>
  </si>
  <si>
    <t>ANNO 2016</t>
  </si>
  <si>
    <t>ANNO 2017</t>
  </si>
  <si>
    <t>* Relativamente ai Comuni di Casalecchio di Reno, Zola Predosa, Monte San Pietro e Sasso Marconi sono compresi i costi della consegna</t>
  </si>
  <si>
    <t>Bisogni soddsfatti/Bisogni espressi</t>
  </si>
  <si>
    <t>Livello di soddisfazione</t>
  </si>
  <si>
    <t>Media permanenza/Percorsi di uscita</t>
  </si>
  <si>
    <t>COMUNI</t>
  </si>
  <si>
    <t>489/12</t>
  </si>
  <si>
    <t>505/4</t>
  </si>
  <si>
    <t>712/5</t>
  </si>
  <si>
    <t>95/3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</si>
</sst>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-[$€-410]\ * #,##0_-;\-[$€-410]\ * #,##0_-;_-[$€-410]\ * &quot;-&quot;??_-;_-@_-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0.000000000"/>
    <numFmt numFmtId="171" formatCode="0.0000000000"/>
    <numFmt numFmtId="172" formatCode="0.00000000000"/>
    <numFmt numFmtId="173" formatCode="0.000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24">
    <font>
      <sz val="10"/>
      <name val="Arial"/>
      <family val="0"/>
    </font>
    <font>
      <sz val="8"/>
      <name val="Arial"/>
      <family val="0"/>
    </font>
    <font>
      <b/>
      <sz val="12"/>
      <name val="Helv"/>
      <family val="0"/>
    </font>
    <font>
      <sz val="12"/>
      <name val="Helv"/>
      <family val="0"/>
    </font>
    <font>
      <sz val="14"/>
      <name val="Arial"/>
      <family val="2"/>
    </font>
    <font>
      <sz val="16"/>
      <name val="Helvetica"/>
      <family val="0"/>
    </font>
    <font>
      <b/>
      <sz val="12"/>
      <name val="Helvetica"/>
      <family val="2"/>
    </font>
    <font>
      <sz val="12"/>
      <name val="Helvetic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"/>
      <family val="0"/>
    </font>
    <font>
      <sz val="10"/>
      <name val="Helvetica"/>
      <family val="0"/>
    </font>
    <font>
      <sz val="9"/>
      <name val="Tahoma"/>
      <family val="0"/>
    </font>
    <font>
      <b/>
      <sz val="9"/>
      <name val="Tahoma"/>
      <family val="0"/>
    </font>
    <font>
      <sz val="10"/>
      <color indexed="55"/>
      <name val="Helv"/>
      <family val="0"/>
    </font>
    <font>
      <sz val="12"/>
      <name val="Arial"/>
      <family val="0"/>
    </font>
    <font>
      <sz val="11"/>
      <name val="Tahoma"/>
      <family val="0"/>
    </font>
    <font>
      <b/>
      <sz val="10"/>
      <name val="Helvetica"/>
      <family val="0"/>
    </font>
    <font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Tahoma"/>
      <family val="2"/>
    </font>
    <font>
      <sz val="10"/>
      <name val="Helevetic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/>
    </xf>
    <xf numFmtId="164" fontId="2" fillId="2" borderId="1" xfId="17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10" fillId="0" borderId="1" xfId="17" applyNumberFormat="1" applyFont="1" applyBorder="1" applyAlignment="1">
      <alignment horizontal="right" vertical="center"/>
    </xf>
    <xf numFmtId="1" fontId="1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10" fillId="0" borderId="1" xfId="17" applyNumberFormat="1" applyFont="1" applyBorder="1" applyAlignment="1">
      <alignment horizontal="center" vertical="center"/>
    </xf>
    <xf numFmtId="164" fontId="2" fillId="2" borderId="1" xfId="17" applyNumberFormat="1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4" fontId="10" fillId="0" borderId="1" xfId="17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1" fontId="11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right" vertical="center"/>
    </xf>
    <xf numFmtId="2" fontId="1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2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/>
    </xf>
    <xf numFmtId="2" fontId="10" fillId="0" borderId="1" xfId="0" applyNumberFormat="1" applyFont="1" applyFill="1" applyBorder="1" applyAlignment="1">
      <alignment horizontal="center"/>
    </xf>
    <xf numFmtId="2" fontId="10" fillId="0" borderId="1" xfId="0" applyNumberFormat="1" applyFont="1" applyBorder="1" applyAlignment="1">
      <alignment horizontal="center" wrapText="1"/>
    </xf>
    <xf numFmtId="1" fontId="14" fillId="0" borderId="1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1" fontId="10" fillId="0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/>
    </xf>
    <xf numFmtId="2" fontId="2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2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4" fontId="2" fillId="2" borderId="1" xfId="17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2" fontId="2" fillId="2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7" fillId="0" borderId="1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10" fillId="0" borderId="1" xfId="17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0" fillId="0" borderId="0" xfId="0" applyAlignment="1">
      <alignment horizontal="left"/>
    </xf>
    <xf numFmtId="1" fontId="11" fillId="0" borderId="1" xfId="0" applyNumberFormat="1" applyFont="1" applyBorder="1" applyAlignment="1">
      <alignment horizontal="center" wrapText="1"/>
    </xf>
    <xf numFmtId="0" fontId="11" fillId="0" borderId="0" xfId="0" applyFont="1" applyAlignment="1">
      <alignment/>
    </xf>
    <xf numFmtId="0" fontId="10" fillId="0" borderId="1" xfId="0" applyFont="1" applyFill="1" applyBorder="1" applyAlignment="1">
      <alignment horizontal="center"/>
    </xf>
    <xf numFmtId="164" fontId="10" fillId="0" borderId="1" xfId="17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10" fillId="0" borderId="1" xfId="17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0" fillId="0" borderId="1" xfId="0" applyNumberFormat="1" applyFill="1" applyBorder="1" applyAlignment="1">
      <alignment/>
    </xf>
    <xf numFmtId="164" fontId="11" fillId="0" borderId="1" xfId="21" applyNumberFormat="1" applyFont="1" applyBorder="1" applyAlignment="1">
      <alignment horizontal="center" vertical="center"/>
      <protection/>
    </xf>
    <xf numFmtId="0" fontId="11" fillId="0" borderId="1" xfId="0" applyFont="1" applyBorder="1" applyAlignment="1">
      <alignment vertical="center"/>
    </xf>
    <xf numFmtId="0" fontId="0" fillId="0" borderId="1" xfId="0" applyFill="1" applyBorder="1" applyAlignment="1">
      <alignment/>
    </xf>
    <xf numFmtId="2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0" fontId="2" fillId="0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20" applyFont="1" applyBorder="1" applyAlignment="1">
      <alignment vertical="center"/>
      <protection/>
    </xf>
    <xf numFmtId="0" fontId="11" fillId="0" borderId="1" xfId="21" applyFont="1" applyBorder="1" applyAlignment="1">
      <alignment vertical="center"/>
      <protection/>
    </xf>
    <xf numFmtId="0" fontId="7" fillId="0" borderId="1" xfId="0" applyFont="1" applyBorder="1" applyAlignment="1">
      <alignment/>
    </xf>
    <xf numFmtId="0" fontId="17" fillId="0" borderId="1" xfId="0" applyFont="1" applyBorder="1" applyAlignment="1">
      <alignment/>
    </xf>
    <xf numFmtId="0" fontId="11" fillId="0" borderId="1" xfId="0" applyFont="1" applyBorder="1" applyAlignment="1">
      <alignment/>
    </xf>
    <xf numFmtId="4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4" fontId="2" fillId="0" borderId="1" xfId="17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right"/>
    </xf>
    <xf numFmtId="4" fontId="0" fillId="0" borderId="1" xfId="0" applyNumberForma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 vertical="center" wrapText="1"/>
    </xf>
    <xf numFmtId="164" fontId="0" fillId="0" borderId="0" xfId="17" applyNumberFormat="1" applyAlignment="1">
      <alignment/>
    </xf>
    <xf numFmtId="4" fontId="0" fillId="0" borderId="1" xfId="0" applyNumberFormat="1" applyFill="1" applyBorder="1" applyAlignment="1">
      <alignment/>
    </xf>
    <xf numFmtId="164" fontId="0" fillId="0" borderId="1" xfId="0" applyNumberFormat="1" applyBorder="1" applyAlignment="1">
      <alignment/>
    </xf>
    <xf numFmtId="4" fontId="2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15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/>
    </xf>
    <xf numFmtId="3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2" fontId="0" fillId="0" borderId="1" xfId="0" applyNumberFormat="1" applyFont="1" applyFill="1" applyBorder="1" applyAlignment="1">
      <alignment horizontal="center"/>
    </xf>
    <xf numFmtId="165" fontId="10" fillId="0" borderId="1" xfId="0" applyNumberFormat="1" applyFont="1" applyBorder="1" applyAlignment="1">
      <alignment/>
    </xf>
    <xf numFmtId="1" fontId="6" fillId="0" borderId="1" xfId="0" applyNumberFormat="1" applyFont="1" applyFill="1" applyBorder="1" applyAlignment="1">
      <alignment horizontal="center" vertical="center"/>
    </xf>
    <xf numFmtId="164" fontId="2" fillId="0" borderId="1" xfId="17" applyNumberFormat="1" applyFont="1" applyFill="1" applyBorder="1" applyAlignment="1">
      <alignment horizontal="right" vertical="center"/>
    </xf>
    <xf numFmtId="44" fontId="2" fillId="2" borderId="1" xfId="23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2" borderId="1" xfId="17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4" xfId="0" applyBorder="1" applyAlignment="1">
      <alignment/>
    </xf>
    <xf numFmtId="0" fontId="5" fillId="0" borderId="5" xfId="0" applyFont="1" applyBorder="1" applyAlignment="1">
      <alignment horizontal="center" vertical="center" textRotation="90"/>
    </xf>
    <xf numFmtId="10" fontId="0" fillId="0" borderId="1" xfId="0" applyNumberFormat="1" applyBorder="1" applyAlignment="1">
      <alignment horizontal="center"/>
    </xf>
    <xf numFmtId="10" fontId="7" fillId="3" borderId="1" xfId="0" applyNumberFormat="1" applyFont="1" applyFill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center"/>
    </xf>
    <xf numFmtId="10" fontId="11" fillId="0" borderId="1" xfId="0" applyNumberFormat="1" applyFont="1" applyFill="1" applyBorder="1" applyAlignment="1">
      <alignment horizontal="center"/>
    </xf>
    <xf numFmtId="10" fontId="6" fillId="2" borderId="1" xfId="0" applyNumberFormat="1" applyFont="1" applyFill="1" applyBorder="1" applyAlignment="1">
      <alignment horizontal="center" vertical="center"/>
    </xf>
    <xf numFmtId="10" fontId="11" fillId="4" borderId="1" xfId="0" applyNumberFormat="1" applyFont="1" applyFill="1" applyBorder="1" applyAlignment="1">
      <alignment horizontal="center" vertical="center"/>
    </xf>
    <xf numFmtId="10" fontId="0" fillId="0" borderId="1" xfId="0" applyNumberFormat="1" applyBorder="1" applyAlignment="1">
      <alignment/>
    </xf>
    <xf numFmtId="10" fontId="0" fillId="0" borderId="0" xfId="0" applyNumberFormat="1" applyAlignment="1">
      <alignment/>
    </xf>
    <xf numFmtId="49" fontId="0" fillId="0" borderId="1" xfId="0" applyNumberFormat="1" applyBorder="1" applyAlignment="1">
      <alignment horizontal="center"/>
    </xf>
    <xf numFmtId="10" fontId="7" fillId="0" borderId="1" xfId="0" applyNumberFormat="1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5" fillId="0" borderId="1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textRotation="90"/>
    </xf>
    <xf numFmtId="10" fontId="2" fillId="2" borderId="1" xfId="0" applyNumberFormat="1" applyFont="1" applyFill="1" applyBorder="1" applyAlignment="1">
      <alignment horizontal="center" vertical="center"/>
    </xf>
  </cellXfs>
  <cellStyles count="11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TRASPORTI  2011" xfId="20"/>
    <cellStyle name="Normale_WE AUTONOMIA 2011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LANCIO%20PARI%20OPPORTUNITA'%202017\Integrale%20modelli\2017%20area%20anzia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An01 Presa in carico"/>
      <sheetName val="An02 Badando Famiglie"/>
      <sheetName val="An03 Badando Assistenti"/>
      <sheetName val="An04 Home Care Premium"/>
      <sheetName val="An05 Dimissioni protette"/>
      <sheetName val="An06 Assistenza Domiciliare"/>
      <sheetName val="An07 Fornitura pasti "/>
      <sheetName val="An08 Trasporto Anziani"/>
      <sheetName val="An09 Telesoccorso"/>
      <sheetName val="An10 Centri Diurni "/>
      <sheetName val="An11 Alloggi Protetti"/>
      <sheetName val="An12 Casa Protetta"/>
      <sheetName val="An13 Contributi economici"/>
      <sheetName val="An14 Rette residenziali"/>
      <sheetName val="An15 Amministrazione sostegno"/>
    </sheetNames>
    <sheetDataSet>
      <sheetData sheetId="10">
        <row r="114">
          <cell r="P114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7"/>
  <sheetViews>
    <sheetView tabSelected="1" zoomScale="75" zoomScaleNormal="75" workbookViewId="0" topLeftCell="B1">
      <pane xSplit="2" topLeftCell="V2" activePane="topRight" state="frozen"/>
      <selection pane="topLeft" activeCell="B28" sqref="B28"/>
      <selection pane="topRight" activeCell="AK27" sqref="AK27"/>
    </sheetView>
  </sheetViews>
  <sheetFormatPr defaultColWidth="9.140625" defaultRowHeight="12.75"/>
  <cols>
    <col min="3" max="3" width="43.8515625" style="0" customWidth="1"/>
    <col min="4" max="4" width="18.57421875" style="1" customWidth="1"/>
    <col min="5" max="8" width="16.7109375" style="1" customWidth="1"/>
    <col min="9" max="13" width="16.7109375" style="0" customWidth="1"/>
    <col min="14" max="14" width="17.421875" style="1" customWidth="1"/>
    <col min="15" max="16" width="15.421875" style="0" customWidth="1"/>
    <col min="17" max="17" width="16.57421875" style="0" customWidth="1"/>
    <col min="18" max="18" width="17.421875" style="0" customWidth="1"/>
    <col min="19" max="19" width="17.421875" style="1" customWidth="1"/>
    <col min="20" max="21" width="15.421875" style="0" customWidth="1"/>
    <col min="22" max="22" width="16.57421875" style="0" customWidth="1"/>
    <col min="23" max="23" width="17.421875" style="0" customWidth="1"/>
    <col min="24" max="24" width="17.28125" style="1" customWidth="1"/>
    <col min="25" max="25" width="14.8515625" style="0" customWidth="1"/>
    <col min="26" max="26" width="13.8515625" style="0" customWidth="1"/>
    <col min="27" max="27" width="15.28125" style="0" customWidth="1"/>
    <col min="28" max="28" width="12.7109375" style="0" customWidth="1"/>
    <col min="29" max="29" width="17.28125" style="1" customWidth="1"/>
    <col min="30" max="30" width="14.8515625" style="0" bestFit="1" customWidth="1"/>
    <col min="31" max="31" width="13.8515625" style="0" bestFit="1" customWidth="1"/>
    <col min="32" max="32" width="15.28125" style="0" bestFit="1" customWidth="1"/>
    <col min="33" max="33" width="12.7109375" style="0" bestFit="1" customWidth="1"/>
    <col min="34" max="34" width="16.00390625" style="1" customWidth="1"/>
    <col min="35" max="35" width="17.140625" style="1" customWidth="1"/>
    <col min="36" max="36" width="15.7109375" style="1" customWidth="1"/>
    <col min="37" max="37" width="15.57421875" style="1" customWidth="1"/>
    <col min="38" max="38" width="14.8515625" style="1" bestFit="1" customWidth="1"/>
    <col min="39" max="39" width="13.8515625" style="1" bestFit="1" customWidth="1"/>
    <col min="40" max="40" width="15.28125" style="1" bestFit="1" customWidth="1"/>
    <col min="41" max="41" width="12.7109375" style="1" bestFit="1" customWidth="1"/>
  </cols>
  <sheetData>
    <row r="1" spans="1:41" ht="25.5" customHeight="1">
      <c r="A1" s="15"/>
      <c r="B1" s="143"/>
      <c r="C1" s="87"/>
      <c r="D1" s="158" t="s">
        <v>9</v>
      </c>
      <c r="E1" s="158"/>
      <c r="F1" s="158"/>
      <c r="G1" s="158"/>
      <c r="H1" s="158"/>
      <c r="I1" s="158" t="s">
        <v>20</v>
      </c>
      <c r="J1" s="158"/>
      <c r="K1" s="158"/>
      <c r="L1" s="158"/>
      <c r="M1" s="158"/>
      <c r="N1" s="158" t="s">
        <v>76</v>
      </c>
      <c r="O1" s="158"/>
      <c r="P1" s="158"/>
      <c r="Q1" s="158"/>
      <c r="R1" s="158"/>
      <c r="S1" s="158">
        <v>2014</v>
      </c>
      <c r="T1" s="158"/>
      <c r="U1" s="158"/>
      <c r="V1" s="158"/>
      <c r="W1" s="158"/>
      <c r="X1" s="158">
        <v>2015</v>
      </c>
      <c r="Y1" s="158"/>
      <c r="Z1" s="158"/>
      <c r="AA1" s="158"/>
      <c r="AB1" s="158"/>
      <c r="AC1" s="158">
        <v>2016</v>
      </c>
      <c r="AD1" s="158"/>
      <c r="AE1" s="158"/>
      <c r="AF1" s="158"/>
      <c r="AG1" s="158"/>
      <c r="AH1" s="158">
        <v>2017</v>
      </c>
      <c r="AI1" s="158"/>
      <c r="AJ1" s="158"/>
      <c r="AK1" s="158"/>
      <c r="AL1" s="158"/>
      <c r="AM1" s="158"/>
      <c r="AN1" s="158"/>
      <c r="AO1" s="158"/>
    </row>
    <row r="2" spans="1:41" ht="66.75" customHeight="1">
      <c r="A2" s="159" t="s">
        <v>34</v>
      </c>
      <c r="B2" s="144"/>
      <c r="C2" s="45"/>
      <c r="D2" s="7" t="s">
        <v>29</v>
      </c>
      <c r="E2" s="8" t="s">
        <v>30</v>
      </c>
      <c r="F2" s="8" t="s">
        <v>58</v>
      </c>
      <c r="G2" s="8" t="s">
        <v>32</v>
      </c>
      <c r="H2" s="8" t="s">
        <v>31</v>
      </c>
      <c r="I2" s="7" t="s">
        <v>29</v>
      </c>
      <c r="J2" s="8" t="s">
        <v>30</v>
      </c>
      <c r="K2" s="8" t="s">
        <v>58</v>
      </c>
      <c r="L2" s="8" t="s">
        <v>32</v>
      </c>
      <c r="M2" s="8" t="s">
        <v>31</v>
      </c>
      <c r="N2" s="7" t="s">
        <v>29</v>
      </c>
      <c r="O2" s="8" t="s">
        <v>30</v>
      </c>
      <c r="P2" s="8" t="s">
        <v>58</v>
      </c>
      <c r="Q2" s="8" t="s">
        <v>32</v>
      </c>
      <c r="R2" s="8" t="s">
        <v>31</v>
      </c>
      <c r="S2" s="7" t="s">
        <v>29</v>
      </c>
      <c r="T2" s="8" t="s">
        <v>30</v>
      </c>
      <c r="U2" s="8" t="s">
        <v>58</v>
      </c>
      <c r="V2" s="8" t="s">
        <v>32</v>
      </c>
      <c r="W2" s="8" t="s">
        <v>31</v>
      </c>
      <c r="X2" s="7" t="s">
        <v>29</v>
      </c>
      <c r="Y2" s="8" t="s">
        <v>30</v>
      </c>
      <c r="Z2" s="8" t="s">
        <v>58</v>
      </c>
      <c r="AA2" s="8" t="s">
        <v>32</v>
      </c>
      <c r="AB2" s="8" t="s">
        <v>31</v>
      </c>
      <c r="AC2" s="7" t="s">
        <v>29</v>
      </c>
      <c r="AD2" s="8" t="s">
        <v>30</v>
      </c>
      <c r="AE2" s="8" t="s">
        <v>58</v>
      </c>
      <c r="AF2" s="8" t="s">
        <v>32</v>
      </c>
      <c r="AG2" s="8" t="s">
        <v>31</v>
      </c>
      <c r="AH2" s="7" t="s">
        <v>29</v>
      </c>
      <c r="AI2" s="7" t="s">
        <v>95</v>
      </c>
      <c r="AJ2" s="146" t="s">
        <v>96</v>
      </c>
      <c r="AK2" s="146" t="s">
        <v>97</v>
      </c>
      <c r="AL2" s="8" t="s">
        <v>30</v>
      </c>
      <c r="AM2" s="8" t="s">
        <v>58</v>
      </c>
      <c r="AN2" s="8" t="s">
        <v>32</v>
      </c>
      <c r="AO2" s="8" t="s">
        <v>31</v>
      </c>
    </row>
    <row r="3" spans="1:41" ht="18" customHeight="1">
      <c r="A3" s="159"/>
      <c r="B3" s="156" t="s">
        <v>34</v>
      </c>
      <c r="C3" s="6" t="s">
        <v>82</v>
      </c>
      <c r="D3" s="45"/>
      <c r="E3" s="45"/>
      <c r="F3" s="80"/>
      <c r="G3" s="14"/>
      <c r="H3" s="14"/>
      <c r="I3" s="45"/>
      <c r="J3" s="45"/>
      <c r="K3" s="80"/>
      <c r="L3" s="14"/>
      <c r="M3" s="14"/>
      <c r="N3" s="45">
        <f>'dati Area Minori e Famiglie'!M14</f>
        <v>1827</v>
      </c>
      <c r="O3" s="81"/>
      <c r="P3" s="80"/>
      <c r="Q3" s="87"/>
      <c r="R3" s="87"/>
      <c r="S3" s="45">
        <f>'dati Area Minori e Famiglie'!R14</f>
        <v>2019</v>
      </c>
      <c r="T3" s="81"/>
      <c r="U3" s="80"/>
      <c r="V3" s="87"/>
      <c r="W3" s="87"/>
      <c r="X3" s="45">
        <v>2197</v>
      </c>
      <c r="Y3" s="87"/>
      <c r="Z3" s="87"/>
      <c r="AA3" s="87"/>
      <c r="AB3" s="87"/>
      <c r="AC3" s="45">
        <v>2216</v>
      </c>
      <c r="AD3" s="87"/>
      <c r="AE3" s="87"/>
      <c r="AF3" s="87"/>
      <c r="AG3" s="87"/>
      <c r="AH3" s="45">
        <f>'dati Area Minori e Famiglie'!AG14</f>
        <v>2059</v>
      </c>
      <c r="AI3" s="45"/>
      <c r="AJ3" s="45"/>
      <c r="AK3" s="45"/>
      <c r="AL3" s="138"/>
      <c r="AM3" s="138"/>
      <c r="AN3" s="45"/>
      <c r="AO3" s="45"/>
    </row>
    <row r="4" spans="1:41" ht="18" customHeight="1">
      <c r="A4" s="159"/>
      <c r="B4" s="161"/>
      <c r="C4" s="6" t="s">
        <v>37</v>
      </c>
      <c r="D4" s="45">
        <v>687</v>
      </c>
      <c r="E4" s="45"/>
      <c r="F4" s="80">
        <f>777/687</f>
        <v>1.1310043668122272</v>
      </c>
      <c r="G4" s="14"/>
      <c r="H4" s="14"/>
      <c r="I4" s="45">
        <v>552</v>
      </c>
      <c r="J4" s="45"/>
      <c r="K4" s="80">
        <f>713/552</f>
        <v>1.2916666666666667</v>
      </c>
      <c r="L4" s="14"/>
      <c r="M4" s="14"/>
      <c r="N4" s="45">
        <v>526</v>
      </c>
      <c r="O4" s="81"/>
      <c r="P4" s="80">
        <v>1.51</v>
      </c>
      <c r="Q4" s="87"/>
      <c r="R4" s="87"/>
      <c r="S4" s="45">
        <f>'dati Area Minori e Famiglie'!R25</f>
        <v>571</v>
      </c>
      <c r="T4" s="81"/>
      <c r="U4" s="80">
        <f>'dati Area Minori e Famiglie'!T25</f>
        <v>1.6287215411558669</v>
      </c>
      <c r="V4" s="87"/>
      <c r="W4" s="87"/>
      <c r="X4" s="45">
        <v>673</v>
      </c>
      <c r="Y4" s="87"/>
      <c r="Z4" s="80">
        <f>'dati Area Minori e Famiglie'!Y25</f>
        <v>0.6567607726597325</v>
      </c>
      <c r="AA4" s="87"/>
      <c r="AB4" s="87"/>
      <c r="AC4" s="45">
        <v>606</v>
      </c>
      <c r="AD4" s="87"/>
      <c r="AE4" s="80">
        <v>0.71</v>
      </c>
      <c r="AF4" s="87"/>
      <c r="AG4" s="87"/>
      <c r="AH4" s="82">
        <f>'dati Area Minori e Famiglie'!AG25</f>
        <v>543</v>
      </c>
      <c r="AI4" s="82"/>
      <c r="AJ4" s="82"/>
      <c r="AK4" s="82"/>
      <c r="AL4" s="138"/>
      <c r="AM4" s="138">
        <v>0.83</v>
      </c>
      <c r="AN4" s="45"/>
      <c r="AO4" s="45"/>
    </row>
    <row r="5" spans="1:41" s="35" customFormat="1" ht="18" customHeight="1">
      <c r="A5" s="159"/>
      <c r="B5" s="161"/>
      <c r="C5" s="6" t="s">
        <v>38</v>
      </c>
      <c r="D5" s="45">
        <v>24</v>
      </c>
      <c r="E5" s="45"/>
      <c r="F5" s="81"/>
      <c r="G5" s="45"/>
      <c r="H5" s="45"/>
      <c r="I5" s="45">
        <v>17</v>
      </c>
      <c r="J5" s="45"/>
      <c r="K5" s="81"/>
      <c r="L5" s="45"/>
      <c r="M5" s="45"/>
      <c r="N5" s="45">
        <v>200</v>
      </c>
      <c r="O5" s="45"/>
      <c r="P5" s="81"/>
      <c r="Q5" s="80"/>
      <c r="R5" s="87"/>
      <c r="S5" s="45">
        <f>'dati Area Minori e Famiglie'!R36</f>
        <v>350</v>
      </c>
      <c r="T5" s="45"/>
      <c r="U5" s="81"/>
      <c r="V5" s="80"/>
      <c r="W5" s="87"/>
      <c r="X5" s="78">
        <v>412</v>
      </c>
      <c r="Y5" s="91"/>
      <c r="Z5" s="91"/>
      <c r="AA5" s="91"/>
      <c r="AB5" s="91"/>
      <c r="AC5" s="78">
        <v>310</v>
      </c>
      <c r="AD5" s="91"/>
      <c r="AE5" s="91"/>
      <c r="AF5" s="91"/>
      <c r="AG5" s="91"/>
      <c r="AH5" s="84">
        <f>'dati Area Minori e Famiglie'!AG36</f>
        <v>289</v>
      </c>
      <c r="AI5" s="84"/>
      <c r="AJ5" s="84"/>
      <c r="AK5" s="84"/>
      <c r="AL5" s="117"/>
      <c r="AM5" s="117"/>
      <c r="AN5" s="78"/>
      <c r="AO5" s="78"/>
    </row>
    <row r="6" spans="1:41" ht="18" customHeight="1">
      <c r="A6" s="159"/>
      <c r="B6" s="161"/>
      <c r="C6" s="6" t="s">
        <v>78</v>
      </c>
      <c r="D6" s="45">
        <f>'dati Area Minori e Famiglie'!C48</f>
        <v>30</v>
      </c>
      <c r="E6" s="81">
        <f>68061/30</f>
        <v>2268.7</v>
      </c>
      <c r="F6" s="45"/>
      <c r="G6" s="45"/>
      <c r="H6" s="45"/>
      <c r="I6" s="45">
        <f>'dati Area Minori e Famiglie'!H48</f>
        <v>35</v>
      </c>
      <c r="J6" s="81">
        <f>93706.08/35</f>
        <v>2677.3165714285715</v>
      </c>
      <c r="K6" s="45"/>
      <c r="L6" s="45"/>
      <c r="M6" s="45"/>
      <c r="N6" s="45">
        <v>61</v>
      </c>
      <c r="O6" s="81">
        <v>2074.78</v>
      </c>
      <c r="P6" s="80"/>
      <c r="Q6" s="87"/>
      <c r="R6" s="87"/>
      <c r="S6" s="45">
        <f>'dati Area Minori e Famiglie'!R48</f>
        <v>60</v>
      </c>
      <c r="T6" s="81">
        <f>'dati Area Minori e Famiglie'!S48</f>
        <v>2558.828666666667</v>
      </c>
      <c r="U6" s="80"/>
      <c r="V6" s="87"/>
      <c r="W6" s="87"/>
      <c r="X6" s="45"/>
      <c r="Y6" s="81"/>
      <c r="Z6" s="87"/>
      <c r="AA6" s="87"/>
      <c r="AB6" s="87"/>
      <c r="AC6" s="45"/>
      <c r="AD6" s="81"/>
      <c r="AE6" s="87"/>
      <c r="AF6" s="87"/>
      <c r="AG6" s="87"/>
      <c r="AH6" s="82">
        <f>'dati Area Minori e Famiglie'!AG48</f>
        <v>0</v>
      </c>
      <c r="AI6" s="82"/>
      <c r="AJ6" s="82"/>
      <c r="AK6" s="82"/>
      <c r="AL6" s="138">
        <f>'dati Area Minori e Famiglie'!AI48</f>
        <v>0</v>
      </c>
      <c r="AM6" s="138"/>
      <c r="AN6" s="45"/>
      <c r="AO6" s="45"/>
    </row>
    <row r="7" spans="1:41" ht="18" customHeight="1">
      <c r="A7" s="159"/>
      <c r="B7" s="161"/>
      <c r="C7" s="6" t="s">
        <v>67</v>
      </c>
      <c r="D7" s="45"/>
      <c r="E7" s="81"/>
      <c r="F7" s="45"/>
      <c r="G7" s="45"/>
      <c r="H7" s="45"/>
      <c r="I7" s="45"/>
      <c r="J7" s="81"/>
      <c r="K7" s="45"/>
      <c r="L7" s="45"/>
      <c r="M7" s="45"/>
      <c r="N7" s="45"/>
      <c r="O7" s="81"/>
      <c r="P7" s="80"/>
      <c r="Q7" s="87"/>
      <c r="R7" s="87"/>
      <c r="S7" s="45"/>
      <c r="T7" s="81"/>
      <c r="U7" s="80"/>
      <c r="V7" s="87"/>
      <c r="W7" s="87"/>
      <c r="X7" s="45"/>
      <c r="Y7" s="81"/>
      <c r="Z7" s="87"/>
      <c r="AA7" s="87"/>
      <c r="AB7" s="87"/>
      <c r="AC7" s="45"/>
      <c r="AD7" s="81"/>
      <c r="AE7" s="87"/>
      <c r="AF7" s="87"/>
      <c r="AG7" s="87"/>
      <c r="AH7" s="82">
        <f>'dati Area Minori e Famiglie'!AG59</f>
        <v>0</v>
      </c>
      <c r="AI7" s="82"/>
      <c r="AJ7" s="82"/>
      <c r="AK7" s="82"/>
      <c r="AL7" s="138"/>
      <c r="AM7" s="138"/>
      <c r="AN7" s="45"/>
      <c r="AO7" s="45"/>
    </row>
    <row r="8" spans="1:41" ht="18" customHeight="1">
      <c r="A8" s="159"/>
      <c r="B8" s="161"/>
      <c r="C8" s="6" t="s">
        <v>39</v>
      </c>
      <c r="D8" s="45">
        <f>'dati Area Minori e Famiglie'!C70</f>
        <v>20</v>
      </c>
      <c r="E8" s="81">
        <f>95341.92/20</f>
        <v>4767.096</v>
      </c>
      <c r="F8" s="45"/>
      <c r="G8" s="45"/>
      <c r="H8" s="45"/>
      <c r="I8" s="45">
        <f>'dati Area Minori e Famiglie'!H70</f>
        <v>27</v>
      </c>
      <c r="J8" s="81">
        <f>104787.39/27</f>
        <v>3881.0144444444445</v>
      </c>
      <c r="K8" s="45"/>
      <c r="L8" s="45"/>
      <c r="M8" s="45"/>
      <c r="N8" s="45">
        <v>27</v>
      </c>
      <c r="O8" s="81">
        <v>5391.53</v>
      </c>
      <c r="P8" s="80"/>
      <c r="Q8" s="87"/>
      <c r="R8" s="87"/>
      <c r="S8" s="45">
        <f>'dati Area Minori e Famiglie'!R70</f>
        <v>25</v>
      </c>
      <c r="T8" s="81">
        <f>'dati Area Minori e Famiglie'!S70</f>
        <v>6215.3372</v>
      </c>
      <c r="U8" s="80"/>
      <c r="V8" s="87"/>
      <c r="W8" s="87"/>
      <c r="X8" s="45">
        <v>27</v>
      </c>
      <c r="Y8" s="81">
        <v>6099.75</v>
      </c>
      <c r="Z8" s="87"/>
      <c r="AA8" s="87"/>
      <c r="AB8" s="87"/>
      <c r="AC8" s="45">
        <v>28</v>
      </c>
      <c r="AD8" s="81">
        <v>5336.08</v>
      </c>
      <c r="AE8" s="87"/>
      <c r="AF8" s="87"/>
      <c r="AG8" s="87"/>
      <c r="AH8" s="82">
        <f>'dati Area Minori e Famiglie'!AG70</f>
        <v>32</v>
      </c>
      <c r="AI8" s="82"/>
      <c r="AJ8" s="82"/>
      <c r="AK8" s="82"/>
      <c r="AL8" s="138">
        <f>'dati Area Minori e Famiglie'!AI70</f>
        <v>4281.9653125</v>
      </c>
      <c r="AM8" s="138"/>
      <c r="AN8" s="45"/>
      <c r="AO8" s="45"/>
    </row>
    <row r="9" spans="1:41" ht="18" customHeight="1">
      <c r="A9" s="159"/>
      <c r="B9" s="161"/>
      <c r="C9" s="6" t="s">
        <v>44</v>
      </c>
      <c r="D9" s="45">
        <f>'dati Area Minori e Famiglie'!C81</f>
        <v>14</v>
      </c>
      <c r="E9" s="81">
        <f>6356/14</f>
        <v>454</v>
      </c>
      <c r="F9" s="45"/>
      <c r="G9" s="45"/>
      <c r="H9" s="45"/>
      <c r="I9" s="45">
        <f>'dati Area Minori e Famiglie'!H81</f>
        <v>15</v>
      </c>
      <c r="J9" s="81">
        <f>5292/15</f>
        <v>352.8</v>
      </c>
      <c r="K9" s="45"/>
      <c r="L9" s="45"/>
      <c r="M9" s="45"/>
      <c r="N9" s="45">
        <v>16</v>
      </c>
      <c r="O9" s="81">
        <v>440.66</v>
      </c>
      <c r="P9" s="80"/>
      <c r="Q9" s="87"/>
      <c r="R9" s="87"/>
      <c r="S9" s="45">
        <f>'dati Area Minori e Famiglie'!R81</f>
        <v>30</v>
      </c>
      <c r="T9" s="81">
        <f>'dati Area Minori e Famiglie'!S81</f>
        <v>306.7</v>
      </c>
      <c r="U9" s="80"/>
      <c r="V9" s="87"/>
      <c r="W9" s="87"/>
      <c r="X9" s="45">
        <v>32</v>
      </c>
      <c r="Y9" s="81">
        <v>319.9</v>
      </c>
      <c r="Z9" s="87"/>
      <c r="AA9" s="87"/>
      <c r="AB9" s="87"/>
      <c r="AC9" s="45">
        <v>26</v>
      </c>
      <c r="AD9" s="81">
        <v>386.05</v>
      </c>
      <c r="AE9" s="87"/>
      <c r="AF9" s="87"/>
      <c r="AG9" s="87"/>
      <c r="AH9" s="82">
        <f>'dati Area Minori e Famiglie'!AG81</f>
        <v>23</v>
      </c>
      <c r="AI9" s="82"/>
      <c r="AJ9" s="82"/>
      <c r="AK9" s="82"/>
      <c r="AL9" s="138">
        <f>'dati Area Minori e Famiglie'!AI81</f>
        <v>300.1</v>
      </c>
      <c r="AM9" s="138"/>
      <c r="AN9" s="45"/>
      <c r="AO9" s="45"/>
    </row>
    <row r="10" spans="1:41" ht="18" customHeight="1">
      <c r="A10" s="159"/>
      <c r="B10" s="161"/>
      <c r="C10" s="6" t="s">
        <v>46</v>
      </c>
      <c r="D10" s="45">
        <f>'dati Area Minori e Famiglie'!C92</f>
        <v>102</v>
      </c>
      <c r="E10" s="81">
        <f>32954/102</f>
        <v>323.078431372549</v>
      </c>
      <c r="F10" s="45"/>
      <c r="G10" s="45"/>
      <c r="H10" s="45"/>
      <c r="I10" s="45">
        <f>'dati Area Minori e Famiglie'!H92</f>
        <v>101</v>
      </c>
      <c r="J10" s="81">
        <f>30959.32/101</f>
        <v>306.5279207920792</v>
      </c>
      <c r="K10" s="45"/>
      <c r="L10" s="45"/>
      <c r="M10" s="45"/>
      <c r="N10" s="45">
        <v>115</v>
      </c>
      <c r="O10" s="81">
        <v>270.28</v>
      </c>
      <c r="P10" s="80"/>
      <c r="Q10" s="87"/>
      <c r="R10" s="87"/>
      <c r="S10" s="45">
        <f>'dati Area Minori e Famiglie'!R92</f>
        <v>88</v>
      </c>
      <c r="T10" s="81">
        <f>'dati Area Minori e Famiglie'!S92</f>
        <v>286.52272727272725</v>
      </c>
      <c r="U10" s="80"/>
      <c r="V10" s="87"/>
      <c r="W10" s="87"/>
      <c r="X10" s="45">
        <v>105</v>
      </c>
      <c r="Y10" s="81">
        <v>275.43</v>
      </c>
      <c r="Z10" s="87"/>
      <c r="AA10" s="87"/>
      <c r="AB10" s="87"/>
      <c r="AC10" s="45"/>
      <c r="AD10" s="81"/>
      <c r="AE10" s="87"/>
      <c r="AF10" s="87"/>
      <c r="AG10" s="87"/>
      <c r="AH10" s="82"/>
      <c r="AI10" s="82"/>
      <c r="AJ10" s="82"/>
      <c r="AK10" s="82"/>
      <c r="AL10" s="138"/>
      <c r="AM10" s="138"/>
      <c r="AN10" s="45"/>
      <c r="AO10" s="45"/>
    </row>
    <row r="11" spans="1:41" ht="18" customHeight="1">
      <c r="A11" s="159"/>
      <c r="B11" s="161"/>
      <c r="C11" s="6" t="s">
        <v>45</v>
      </c>
      <c r="D11" s="45">
        <f>'dati Area Minori e Famiglie'!C104</f>
        <v>77</v>
      </c>
      <c r="E11" s="81">
        <f>9175/77</f>
        <v>119.15584415584415</v>
      </c>
      <c r="F11" s="82"/>
      <c r="G11" s="45"/>
      <c r="H11" s="45"/>
      <c r="I11" s="45">
        <f>'dati Area Minori e Famiglie'!H104</f>
        <v>90</v>
      </c>
      <c r="J11" s="81">
        <f>9130/90</f>
        <v>101.44444444444444</v>
      </c>
      <c r="K11" s="82"/>
      <c r="L11" s="45"/>
      <c r="M11" s="45"/>
      <c r="N11" s="45">
        <v>56</v>
      </c>
      <c r="O11" s="81">
        <v>93.04</v>
      </c>
      <c r="P11" s="80"/>
      <c r="Q11" s="87"/>
      <c r="R11" s="87"/>
      <c r="S11" s="45">
        <f>'dati Area Minori e Famiglie'!R104</f>
        <v>55</v>
      </c>
      <c r="T11" s="81">
        <f>'dati Area Minori e Famiglie'!S104</f>
        <v>95.66799999999999</v>
      </c>
      <c r="U11" s="80"/>
      <c r="V11" s="87"/>
      <c r="W11" s="87"/>
      <c r="X11" s="45">
        <v>49</v>
      </c>
      <c r="Y11" s="81">
        <f>'dati Area Minori e Famiglie'!X104</f>
        <v>115.71428571428571</v>
      </c>
      <c r="Z11" s="87"/>
      <c r="AA11" s="87"/>
      <c r="AB11" s="87"/>
      <c r="AC11" s="45">
        <v>65</v>
      </c>
      <c r="AD11" s="81">
        <v>121.69</v>
      </c>
      <c r="AE11" s="87"/>
      <c r="AF11" s="87"/>
      <c r="AG11" s="87"/>
      <c r="AH11" s="82">
        <f>'dati Area Minori e Famiglie'!AG104</f>
        <v>40</v>
      </c>
      <c r="AI11" s="82"/>
      <c r="AJ11" s="82"/>
      <c r="AK11" s="82"/>
      <c r="AL11" s="138">
        <f>'dati Area Minori e Famiglie'!AI104</f>
        <v>100.5</v>
      </c>
      <c r="AM11" s="138"/>
      <c r="AN11" s="45"/>
      <c r="AO11" s="45"/>
    </row>
    <row r="12" spans="1:41" ht="18" customHeight="1">
      <c r="A12" s="159"/>
      <c r="B12" s="161"/>
      <c r="C12" s="6" t="s">
        <v>6</v>
      </c>
      <c r="D12" s="45">
        <f>'dati Area Minori e Famiglie'!C116</f>
        <v>302</v>
      </c>
      <c r="E12" s="81">
        <f>305612.03/302</f>
        <v>1011.9603642384106</v>
      </c>
      <c r="F12" s="45"/>
      <c r="G12" s="45"/>
      <c r="H12" s="45"/>
      <c r="I12" s="45">
        <f>'dati Area Minori e Famiglie'!H116</f>
        <v>318</v>
      </c>
      <c r="J12" s="81">
        <f>293185.81/318</f>
        <v>921.9679559748428</v>
      </c>
      <c r="K12" s="45"/>
      <c r="L12" s="45"/>
      <c r="M12" s="45"/>
      <c r="N12" s="45">
        <v>344</v>
      </c>
      <c r="O12" s="81">
        <v>919.31</v>
      </c>
      <c r="P12" s="80"/>
      <c r="Q12" s="87"/>
      <c r="R12" s="87"/>
      <c r="S12" s="45">
        <f>'dati Area Minori e Famiglie'!R116</f>
        <v>338</v>
      </c>
      <c r="T12" s="81">
        <f>'dati Area Minori e Famiglie'!S116</f>
        <v>903.5066568047338</v>
      </c>
      <c r="U12" s="80"/>
      <c r="V12" s="87"/>
      <c r="W12" s="87"/>
      <c r="X12" s="45">
        <v>338</v>
      </c>
      <c r="Y12" s="81">
        <f>'dati Area Minori e Famiglie'!X116</f>
        <v>867.182899408284</v>
      </c>
      <c r="Z12" s="87"/>
      <c r="AA12" s="87"/>
      <c r="AB12" s="87"/>
      <c r="AC12" s="45">
        <v>401</v>
      </c>
      <c r="AD12" s="81">
        <v>715.22</v>
      </c>
      <c r="AE12" s="87"/>
      <c r="AF12" s="87"/>
      <c r="AG12" s="87"/>
      <c r="AH12" s="45">
        <f>'dati Area Minori e Famiglie'!AG116</f>
        <v>412</v>
      </c>
      <c r="AI12" s="45"/>
      <c r="AJ12" s="45"/>
      <c r="AK12" s="45"/>
      <c r="AL12" s="138">
        <f>'dati Area Minori e Famiglie'!AI116</f>
        <v>614.8575485436893</v>
      </c>
      <c r="AM12" s="138"/>
      <c r="AN12" s="45"/>
      <c r="AO12" s="45"/>
    </row>
    <row r="13" spans="1:41" ht="18" customHeight="1">
      <c r="A13" s="159"/>
      <c r="B13" s="161"/>
      <c r="C13" s="6" t="s">
        <v>24</v>
      </c>
      <c r="D13" s="45">
        <f>'dati Area Minori e Famiglie'!C126</f>
        <v>69</v>
      </c>
      <c r="E13" s="81">
        <f>30573.45/69</f>
        <v>443.0934782608696</v>
      </c>
      <c r="F13" s="45"/>
      <c r="G13" s="45"/>
      <c r="H13" s="45"/>
      <c r="I13" s="45">
        <f>'dati Area Minori e Famiglie'!H126</f>
        <v>55</v>
      </c>
      <c r="J13" s="81">
        <f>21558.05/55</f>
        <v>391.96454545454543</v>
      </c>
      <c r="K13" s="45"/>
      <c r="L13" s="45"/>
      <c r="M13" s="45"/>
      <c r="N13" s="45">
        <v>40</v>
      </c>
      <c r="O13" s="81">
        <v>292.58</v>
      </c>
      <c r="P13" s="80"/>
      <c r="Q13" s="87"/>
      <c r="R13" s="87"/>
      <c r="S13" s="45">
        <v>0</v>
      </c>
      <c r="T13" s="81">
        <v>0</v>
      </c>
      <c r="U13" s="80"/>
      <c r="V13" s="87"/>
      <c r="W13" s="87"/>
      <c r="X13" s="45"/>
      <c r="Y13" s="81"/>
      <c r="Z13" s="87"/>
      <c r="AA13" s="87"/>
      <c r="AB13" s="87"/>
      <c r="AC13" s="45"/>
      <c r="AD13" s="81"/>
      <c r="AE13" s="87"/>
      <c r="AF13" s="87"/>
      <c r="AG13" s="87"/>
      <c r="AH13" s="45"/>
      <c r="AI13" s="45"/>
      <c r="AJ13" s="45"/>
      <c r="AK13" s="45"/>
      <c r="AL13" s="138"/>
      <c r="AM13" s="138"/>
      <c r="AN13" s="45"/>
      <c r="AO13" s="45"/>
    </row>
    <row r="14" spans="1:41" ht="18" customHeight="1">
      <c r="A14" s="159"/>
      <c r="B14" s="161"/>
      <c r="C14" s="6" t="s">
        <v>65</v>
      </c>
      <c r="D14" s="45"/>
      <c r="E14" s="45"/>
      <c r="F14" s="45"/>
      <c r="G14" s="45"/>
      <c r="H14" s="45"/>
      <c r="I14" s="45">
        <f>'dati Area Minori e Famiglie'!H137</f>
        <v>40</v>
      </c>
      <c r="J14" s="81">
        <f>72409.61/40</f>
        <v>1810.24025</v>
      </c>
      <c r="K14" s="45"/>
      <c r="L14" s="45"/>
      <c r="M14" s="45"/>
      <c r="N14" s="45">
        <v>35</v>
      </c>
      <c r="O14" s="81">
        <v>1556.74</v>
      </c>
      <c r="P14" s="80"/>
      <c r="Q14" s="87"/>
      <c r="R14" s="87"/>
      <c r="S14" s="45">
        <f>'dati Area Minori e Famiglie'!R137</f>
        <v>35</v>
      </c>
      <c r="T14" s="81">
        <f>'dati Area Minori e Famiglie'!S137</f>
        <v>1471.2828571428572</v>
      </c>
      <c r="U14" s="80"/>
      <c r="V14" s="87"/>
      <c r="W14" s="87"/>
      <c r="X14" s="45"/>
      <c r="Y14" s="81"/>
      <c r="Z14" s="87"/>
      <c r="AA14" s="87"/>
      <c r="AB14" s="87"/>
      <c r="AC14" s="45"/>
      <c r="AD14" s="81"/>
      <c r="AE14" s="87"/>
      <c r="AF14" s="87"/>
      <c r="AG14" s="87"/>
      <c r="AH14" s="45"/>
      <c r="AI14" s="45"/>
      <c r="AJ14" s="45"/>
      <c r="AK14" s="45"/>
      <c r="AL14" s="138"/>
      <c r="AM14" s="138"/>
      <c r="AN14" s="45"/>
      <c r="AO14" s="45"/>
    </row>
    <row r="15" spans="1:41" ht="18" customHeight="1">
      <c r="A15" s="159"/>
      <c r="B15" s="161"/>
      <c r="C15" s="6" t="s">
        <v>84</v>
      </c>
      <c r="D15" s="45"/>
      <c r="E15" s="45"/>
      <c r="F15" s="45"/>
      <c r="G15" s="45"/>
      <c r="H15" s="45"/>
      <c r="I15" s="45"/>
      <c r="J15" s="81"/>
      <c r="K15" s="45"/>
      <c r="L15" s="45"/>
      <c r="M15" s="45"/>
      <c r="N15" s="45"/>
      <c r="O15" s="81"/>
      <c r="P15" s="80"/>
      <c r="Q15" s="87"/>
      <c r="R15" s="87"/>
      <c r="S15" s="45">
        <f>'dati Area Minori e Famiglie'!R149</f>
        <v>9</v>
      </c>
      <c r="T15" s="81">
        <f>'dati Area Minori e Famiglie'!S149</f>
        <v>482.44444444444446</v>
      </c>
      <c r="U15" s="80"/>
      <c r="V15" s="87"/>
      <c r="W15" s="87"/>
      <c r="X15" s="45">
        <v>14</v>
      </c>
      <c r="Y15" s="81">
        <f>'dati Area Minori e Famiglie'!X149</f>
        <v>257.1635714285714</v>
      </c>
      <c r="Z15" s="87"/>
      <c r="AA15" s="87"/>
      <c r="AB15" s="87"/>
      <c r="AC15" s="45">
        <v>8</v>
      </c>
      <c r="AD15" s="81">
        <v>366.76</v>
      </c>
      <c r="AE15" s="87"/>
      <c r="AF15" s="87"/>
      <c r="AG15" s="87"/>
      <c r="AH15" s="45">
        <f>'dati Area Minori e Famiglie'!AG149</f>
        <v>6</v>
      </c>
      <c r="AI15" s="45"/>
      <c r="AJ15" s="45"/>
      <c r="AK15" s="45"/>
      <c r="AL15" s="138">
        <f>'dati Area Minori e Famiglie'!AI149</f>
        <v>380.3516666666667</v>
      </c>
      <c r="AM15" s="138"/>
      <c r="AN15" s="45"/>
      <c r="AO15" s="45"/>
    </row>
    <row r="16" spans="1:41" s="35" customFormat="1" ht="18" customHeight="1">
      <c r="A16" s="159"/>
      <c r="B16" s="161"/>
      <c r="C16" s="6" t="s">
        <v>40</v>
      </c>
      <c r="D16" s="78"/>
      <c r="E16" s="83"/>
      <c r="F16" s="84"/>
      <c r="G16" s="78"/>
      <c r="H16" s="78"/>
      <c r="I16" s="78"/>
      <c r="J16" s="83"/>
      <c r="K16" s="84"/>
      <c r="L16" s="78"/>
      <c r="M16" s="78"/>
      <c r="N16" s="45"/>
      <c r="O16" s="81"/>
      <c r="P16" s="80"/>
      <c r="Q16" s="91"/>
      <c r="R16" s="91"/>
      <c r="S16" s="45"/>
      <c r="T16" s="81"/>
      <c r="U16" s="80"/>
      <c r="V16" s="91"/>
      <c r="W16" s="91"/>
      <c r="X16" s="78"/>
      <c r="Y16" s="81"/>
      <c r="Z16" s="91"/>
      <c r="AA16" s="91"/>
      <c r="AB16" s="91"/>
      <c r="AC16" s="78"/>
      <c r="AD16" s="81"/>
      <c r="AE16" s="91"/>
      <c r="AF16" s="91"/>
      <c r="AG16" s="91"/>
      <c r="AH16" s="78"/>
      <c r="AI16" s="78"/>
      <c r="AJ16" s="78"/>
      <c r="AK16" s="78"/>
      <c r="AL16" s="138"/>
      <c r="AM16" s="117"/>
      <c r="AN16" s="78"/>
      <c r="AO16" s="78"/>
    </row>
    <row r="17" spans="1:41" ht="18" customHeight="1">
      <c r="A17" s="159"/>
      <c r="B17" s="161"/>
      <c r="C17" s="6" t="s">
        <v>41</v>
      </c>
      <c r="D17" s="45">
        <v>40</v>
      </c>
      <c r="E17" s="81">
        <f>83616.64/40</f>
        <v>2090.416</v>
      </c>
      <c r="F17" s="82">
        <f>3720.75/40</f>
        <v>93.01875</v>
      </c>
      <c r="G17" s="45"/>
      <c r="H17" s="45"/>
      <c r="I17" s="45">
        <v>48</v>
      </c>
      <c r="J17" s="81">
        <f>92935.2/48</f>
        <v>1936.1499999999999</v>
      </c>
      <c r="K17" s="80">
        <f>(3002.25+473)/48</f>
        <v>72.40104166666667</v>
      </c>
      <c r="L17" s="45"/>
      <c r="M17" s="45"/>
      <c r="N17" s="45">
        <v>18</v>
      </c>
      <c r="O17" s="81">
        <v>3107.03</v>
      </c>
      <c r="P17" s="80">
        <v>109.28</v>
      </c>
      <c r="Q17" s="87"/>
      <c r="R17" s="87"/>
      <c r="S17" s="45">
        <f>'dati Area Minori e Famiglie'!R171</f>
        <v>43</v>
      </c>
      <c r="T17" s="81">
        <f>'dati Area Minori e Famiglie'!S171</f>
        <v>2994.788837209302</v>
      </c>
      <c r="U17" s="80">
        <f>'dati Area Minori e Famiglie'!T171</f>
        <v>85.1146511627907</v>
      </c>
      <c r="V17" s="87"/>
      <c r="W17" s="87"/>
      <c r="X17" s="45">
        <v>41</v>
      </c>
      <c r="Y17" s="81">
        <f>'dati Area Minori e Famiglie'!X171</f>
        <v>3668.2453658536583</v>
      </c>
      <c r="Z17" s="92">
        <f>'dati Area Minori e Famiglie'!Y171</f>
        <v>124.76829268292683</v>
      </c>
      <c r="AA17" s="87"/>
      <c r="AB17" s="87"/>
      <c r="AC17" s="45">
        <v>46</v>
      </c>
      <c r="AD17" s="81">
        <v>2475.81</v>
      </c>
      <c r="AE17" s="92">
        <v>71.32</v>
      </c>
      <c r="AF17" s="87"/>
      <c r="AG17" s="87"/>
      <c r="AH17" s="45">
        <f>'dati Area Minori e Famiglie'!AG171</f>
        <v>55</v>
      </c>
      <c r="AI17" s="45"/>
      <c r="AJ17" s="45"/>
      <c r="AK17" s="45"/>
      <c r="AL17" s="138">
        <f>'dati Area Minori e Famiglie'!AI171</f>
        <v>2826.794363636364</v>
      </c>
      <c r="AM17" s="138">
        <f>'dati Area Minori e Famiglie'!AJ171</f>
        <v>92.79327272727274</v>
      </c>
      <c r="AN17" s="45"/>
      <c r="AO17" s="45"/>
    </row>
    <row r="18" spans="1:41" ht="18" customHeight="1">
      <c r="A18" s="159"/>
      <c r="B18" s="161"/>
      <c r="C18" s="6" t="s">
        <v>57</v>
      </c>
      <c r="D18" s="45"/>
      <c r="E18" s="81"/>
      <c r="F18" s="82"/>
      <c r="G18" s="45"/>
      <c r="H18" s="45"/>
      <c r="I18" s="45"/>
      <c r="J18" s="81"/>
      <c r="K18" s="82"/>
      <c r="L18" s="45"/>
      <c r="M18" s="45"/>
      <c r="N18" s="45"/>
      <c r="O18" s="81"/>
      <c r="P18" s="80"/>
      <c r="Q18" s="87"/>
      <c r="R18" s="87"/>
      <c r="S18" s="45"/>
      <c r="T18" s="81"/>
      <c r="U18" s="80"/>
      <c r="V18" s="87"/>
      <c r="W18" s="87"/>
      <c r="X18" s="45"/>
      <c r="Y18" s="81"/>
      <c r="Z18" s="87"/>
      <c r="AA18" s="87"/>
      <c r="AB18" s="87"/>
      <c r="AC18" s="45"/>
      <c r="AD18" s="81"/>
      <c r="AE18" s="87"/>
      <c r="AF18" s="87"/>
      <c r="AG18" s="87"/>
      <c r="AH18" s="45"/>
      <c r="AI18" s="45"/>
      <c r="AJ18" s="45"/>
      <c r="AK18" s="45"/>
      <c r="AL18" s="138"/>
      <c r="AM18" s="138"/>
      <c r="AN18" s="45"/>
      <c r="AO18" s="45"/>
    </row>
    <row r="19" spans="1:41" ht="18" customHeight="1">
      <c r="A19" s="159"/>
      <c r="B19" s="161"/>
      <c r="C19" s="6" t="s">
        <v>42</v>
      </c>
      <c r="D19" s="45">
        <v>10</v>
      </c>
      <c r="E19" s="81">
        <f>8617.99/10</f>
        <v>861.799</v>
      </c>
      <c r="F19" s="82">
        <f>417/10</f>
        <v>41.7</v>
      </c>
      <c r="G19" s="45"/>
      <c r="H19" s="45"/>
      <c r="I19" s="45">
        <v>13</v>
      </c>
      <c r="J19" s="81">
        <v>778.75</v>
      </c>
      <c r="K19" s="80">
        <f>(336+127.25)/13</f>
        <v>35.63461538461539</v>
      </c>
      <c r="L19" s="45"/>
      <c r="M19" s="45"/>
      <c r="N19" s="45">
        <v>10</v>
      </c>
      <c r="O19" s="81">
        <v>1385.44</v>
      </c>
      <c r="P19" s="80">
        <v>58.3</v>
      </c>
      <c r="Q19" s="87"/>
      <c r="R19" s="87"/>
      <c r="S19" s="45">
        <f>'dati Area Minori e Famiglie'!R192</f>
        <v>18</v>
      </c>
      <c r="T19" s="81">
        <f>'dati Area Minori e Famiglie'!S192</f>
        <v>1014.7061111111111</v>
      </c>
      <c r="U19" s="80">
        <f>'dati Area Minori e Famiglie'!T192</f>
        <v>42.21333333333334</v>
      </c>
      <c r="V19" s="87"/>
      <c r="W19" s="87"/>
      <c r="X19" s="45">
        <v>25</v>
      </c>
      <c r="Y19" s="81">
        <f>'dati Area Minori e Famiglie'!X192</f>
        <v>693.3004</v>
      </c>
      <c r="Z19" s="92">
        <f>'dati Area Minori e Famiglie'!Y192</f>
        <v>28.6232</v>
      </c>
      <c r="AA19" s="87"/>
      <c r="AB19" s="87"/>
      <c r="AC19" s="45">
        <v>35</v>
      </c>
      <c r="AD19" s="81">
        <v>651.04</v>
      </c>
      <c r="AE19" s="92">
        <v>26.88</v>
      </c>
      <c r="AF19" s="87"/>
      <c r="AG19" s="87"/>
      <c r="AH19" s="45">
        <f>'dati Area Minori e Famiglie'!AG192</f>
        <v>47</v>
      </c>
      <c r="AI19" s="45"/>
      <c r="AJ19" s="45"/>
      <c r="AK19" s="45"/>
      <c r="AL19" s="138">
        <f>'dati Area Minori e Famiglie'!AI192</f>
        <v>842.1327659574467</v>
      </c>
      <c r="AM19" s="138">
        <f>'dati Area Minori e Famiglie'!AJ192</f>
        <v>34.62340425531915</v>
      </c>
      <c r="AN19" s="45"/>
      <c r="AO19" s="45"/>
    </row>
    <row r="20" spans="1:41" ht="18" customHeight="1">
      <c r="A20" s="159"/>
      <c r="B20" s="161"/>
      <c r="C20" s="6" t="s">
        <v>43</v>
      </c>
      <c r="D20" s="45">
        <v>30</v>
      </c>
      <c r="E20" s="81">
        <f>77825.05/30</f>
        <v>2594.1683333333335</v>
      </c>
      <c r="F20" s="82">
        <f>3196.6/30</f>
        <v>106.55333333333333</v>
      </c>
      <c r="G20" s="45"/>
      <c r="H20" s="45"/>
      <c r="I20" s="45">
        <v>29</v>
      </c>
      <c r="J20" s="81">
        <f>54799.64/29</f>
        <v>1889.6427586206896</v>
      </c>
      <c r="K20" s="80">
        <f>(1425.5+389.25)/29</f>
        <v>62.577586206896555</v>
      </c>
      <c r="L20" s="45"/>
      <c r="M20" s="45"/>
      <c r="N20" s="45">
        <v>32</v>
      </c>
      <c r="O20" s="81">
        <v>1770.51</v>
      </c>
      <c r="P20" s="80">
        <v>74.6</v>
      </c>
      <c r="Q20" s="87"/>
      <c r="R20" s="87"/>
      <c r="S20" s="45">
        <f>'dati Area Minori e Famiglie'!R203</f>
        <v>32</v>
      </c>
      <c r="T20" s="81">
        <f>'dati Area Minori e Famiglie'!S203</f>
        <v>1878.9634375</v>
      </c>
      <c r="U20" s="80">
        <f>'dati Area Minori e Famiglie'!T203</f>
        <v>79.1715625</v>
      </c>
      <c r="V20" s="87"/>
      <c r="W20" s="87"/>
      <c r="X20" s="45">
        <v>28</v>
      </c>
      <c r="Y20" s="81">
        <f>'dati Area Minori e Famiglie'!X203</f>
        <v>2320.108928571429</v>
      </c>
      <c r="Z20" s="92">
        <f>'dati Area Minori e Famiglie'!Y203</f>
        <v>94.50142857142858</v>
      </c>
      <c r="AA20" s="87"/>
      <c r="AB20" s="87"/>
      <c r="AC20" s="45"/>
      <c r="AD20" s="81"/>
      <c r="AE20" s="92"/>
      <c r="AF20" s="87"/>
      <c r="AG20" s="87"/>
      <c r="AH20" s="45"/>
      <c r="AI20" s="45"/>
      <c r="AJ20" s="45"/>
      <c r="AK20" s="45"/>
      <c r="AL20" s="138"/>
      <c r="AM20" s="138"/>
      <c r="AN20" s="45"/>
      <c r="AO20" s="45"/>
    </row>
    <row r="21" spans="1:41" ht="18" customHeight="1">
      <c r="A21" s="159"/>
      <c r="B21" s="161"/>
      <c r="C21" s="6" t="s">
        <v>47</v>
      </c>
      <c r="D21" s="45">
        <v>49</v>
      </c>
      <c r="E21" s="81">
        <f>131675.64/49</f>
        <v>2687.257959183674</v>
      </c>
      <c r="F21" s="82">
        <f>5721.75/49</f>
        <v>116.7704081632653</v>
      </c>
      <c r="G21" s="45"/>
      <c r="H21" s="45"/>
      <c r="I21" s="45">
        <v>47</v>
      </c>
      <c r="J21" s="81">
        <f>112506.68/47</f>
        <v>2393.7591489361703</v>
      </c>
      <c r="K21" s="82">
        <f>5281.25/47</f>
        <v>112.36702127659575</v>
      </c>
      <c r="L21" s="45"/>
      <c r="M21" s="45"/>
      <c r="N21" s="45">
        <v>40</v>
      </c>
      <c r="O21" s="81">
        <v>2853.11</v>
      </c>
      <c r="P21" s="80">
        <v>119.64</v>
      </c>
      <c r="Q21" s="87"/>
      <c r="R21" s="87"/>
      <c r="S21" s="45">
        <f>'dati Area Minori e Famiglie'!R214</f>
        <v>38</v>
      </c>
      <c r="T21" s="81">
        <f>'dati Area Minori e Famiglie'!S214</f>
        <v>3157.2594736842107</v>
      </c>
      <c r="U21" s="80">
        <f>'dati Area Minori e Famiglie'!T214</f>
        <v>126.48921052631579</v>
      </c>
      <c r="V21" s="87"/>
      <c r="W21" s="87"/>
      <c r="X21" s="45">
        <v>48</v>
      </c>
      <c r="Y21" s="81">
        <f>'dati Area Minori e Famiglie'!X214</f>
        <v>2515.7087500000002</v>
      </c>
      <c r="Z21" s="92">
        <f>'dati Area Minori e Famiglie'!Y214</f>
        <v>91.63687499999999</v>
      </c>
      <c r="AA21" s="87"/>
      <c r="AB21" s="87"/>
      <c r="AC21" s="45">
        <v>60</v>
      </c>
      <c r="AD21" s="81">
        <v>2682.11</v>
      </c>
      <c r="AE21" s="92">
        <v>93.28</v>
      </c>
      <c r="AF21" s="87"/>
      <c r="AG21" s="87"/>
      <c r="AH21" s="78">
        <v>61</v>
      </c>
      <c r="AI21" s="78"/>
      <c r="AJ21" s="78"/>
      <c r="AK21" s="78"/>
      <c r="AL21" s="117">
        <v>3129.443114754098</v>
      </c>
      <c r="AM21" s="117">
        <v>94.98360655737704</v>
      </c>
      <c r="AN21" s="45"/>
      <c r="AO21" s="45"/>
    </row>
    <row r="22" spans="1:41" ht="18" customHeight="1">
      <c r="A22" s="159"/>
      <c r="B22" s="161"/>
      <c r="C22" s="6" t="s">
        <v>48</v>
      </c>
      <c r="D22" s="45">
        <v>16</v>
      </c>
      <c r="E22" s="81">
        <f>37012.3/16</f>
        <v>2313.26875</v>
      </c>
      <c r="F22" s="45"/>
      <c r="G22" s="45"/>
      <c r="H22" s="45"/>
      <c r="I22" s="45">
        <v>11</v>
      </c>
      <c r="J22" s="81">
        <f>36324.48/11</f>
        <v>3302.225454545455</v>
      </c>
      <c r="K22" s="45"/>
      <c r="L22" s="45"/>
      <c r="M22" s="45"/>
      <c r="N22" s="45">
        <v>11</v>
      </c>
      <c r="O22" s="81">
        <v>4048.25</v>
      </c>
      <c r="P22" s="80"/>
      <c r="Q22" s="87"/>
      <c r="R22" s="87"/>
      <c r="S22" s="45">
        <f>'dati Area Minori e Famiglie'!R225</f>
        <v>14</v>
      </c>
      <c r="T22" s="81">
        <f>'dati Area Minori e Famiglie'!S225</f>
        <v>4602.422142857143</v>
      </c>
      <c r="U22" s="80"/>
      <c r="V22" s="87"/>
      <c r="W22" s="87"/>
      <c r="X22" s="45">
        <v>15</v>
      </c>
      <c r="Y22" s="81">
        <f>'dati Area Minori e Famiglie'!X225</f>
        <v>5684.756666666667</v>
      </c>
      <c r="Z22" s="87"/>
      <c r="AA22" s="87"/>
      <c r="AB22" s="87"/>
      <c r="AC22" s="45">
        <v>22</v>
      </c>
      <c r="AD22" s="81">
        <v>5362.4</v>
      </c>
      <c r="AE22" s="87"/>
      <c r="AF22" s="87"/>
      <c r="AG22" s="87"/>
      <c r="AH22" s="78">
        <v>22</v>
      </c>
      <c r="AI22" s="78"/>
      <c r="AJ22" s="78"/>
      <c r="AK22" s="78"/>
      <c r="AL22" s="117">
        <v>5616.750454545454</v>
      </c>
      <c r="AM22" s="117"/>
      <c r="AN22" s="45"/>
      <c r="AO22" s="45"/>
    </row>
    <row r="23" spans="1:41" ht="18" customHeight="1">
      <c r="A23" s="159"/>
      <c r="B23" s="161"/>
      <c r="C23" s="6" t="s">
        <v>49</v>
      </c>
      <c r="D23" s="45">
        <v>262</v>
      </c>
      <c r="E23" s="81">
        <f>1937317.25/262</f>
        <v>7394.340648854962</v>
      </c>
      <c r="F23" s="82">
        <f>93486.3/262</f>
        <v>356.8179389312977</v>
      </c>
      <c r="G23" s="45"/>
      <c r="H23" s="45"/>
      <c r="I23" s="45">
        <v>281</v>
      </c>
      <c r="J23" s="81">
        <f>1976746.49/281</f>
        <v>7034.685017793594</v>
      </c>
      <c r="K23" s="80">
        <f>85397/281</f>
        <v>303.9039145907473</v>
      </c>
      <c r="L23" s="45"/>
      <c r="M23" s="45"/>
      <c r="N23" s="45">
        <v>288</v>
      </c>
      <c r="O23" s="81">
        <v>6862.49</v>
      </c>
      <c r="P23" s="80">
        <v>289.26</v>
      </c>
      <c r="Q23" s="87"/>
      <c r="R23" s="87"/>
      <c r="S23" s="45">
        <f>'dati Area Minori e Famiglie'!R236</f>
        <v>268</v>
      </c>
      <c r="T23" s="81">
        <f>'dati Area Minori e Famiglie'!S236</f>
        <v>7108.960597014925</v>
      </c>
      <c r="U23" s="80">
        <f>'dati Area Minori e Famiglie'!T236</f>
        <v>299.0239552238806</v>
      </c>
      <c r="V23" s="87"/>
      <c r="W23" s="87"/>
      <c r="X23" s="45">
        <v>264</v>
      </c>
      <c r="Y23" s="81">
        <f>'dati Area Minori e Famiglie'!X236</f>
        <v>7009.833939393939</v>
      </c>
      <c r="Z23" s="92">
        <f>'dati Area Minori e Famiglie'!Y236</f>
        <v>290.4092803030303</v>
      </c>
      <c r="AA23" s="87"/>
      <c r="AB23" s="87"/>
      <c r="AC23" s="45">
        <v>262</v>
      </c>
      <c r="AD23" s="81">
        <v>7032.94</v>
      </c>
      <c r="AE23" s="92">
        <v>289.15</v>
      </c>
      <c r="AF23" s="87"/>
      <c r="AG23" s="87"/>
      <c r="AH23" s="78">
        <v>252</v>
      </c>
      <c r="AI23" s="78"/>
      <c r="AJ23" s="78"/>
      <c r="AK23" s="78"/>
      <c r="AL23" s="117">
        <v>7360.497658730158</v>
      </c>
      <c r="AM23" s="117">
        <v>298.58837301587306</v>
      </c>
      <c r="AN23" s="45"/>
      <c r="AO23" s="45"/>
    </row>
    <row r="24" spans="1:41" ht="17.25" customHeight="1">
      <c r="A24" s="159"/>
      <c r="B24" s="161"/>
      <c r="C24" s="6" t="s">
        <v>50</v>
      </c>
      <c r="D24" s="45">
        <v>25</v>
      </c>
      <c r="E24" s="45"/>
      <c r="F24" s="45"/>
      <c r="G24" s="45"/>
      <c r="H24" s="45"/>
      <c r="I24" s="45">
        <v>24</v>
      </c>
      <c r="J24" s="45"/>
      <c r="K24" s="45"/>
      <c r="L24" s="45"/>
      <c r="M24" s="45"/>
      <c r="N24" s="45">
        <v>41</v>
      </c>
      <c r="O24" s="81"/>
      <c r="P24" s="80"/>
      <c r="Q24" s="87"/>
      <c r="R24" s="87"/>
      <c r="S24" s="45">
        <f>'dati Area Minori e Famiglie'!R248</f>
        <v>44</v>
      </c>
      <c r="T24" s="81"/>
      <c r="U24" s="80"/>
      <c r="V24" s="87"/>
      <c r="W24" s="87"/>
      <c r="X24" s="45">
        <v>70</v>
      </c>
      <c r="Y24" s="81"/>
      <c r="Z24" s="87"/>
      <c r="AA24" s="87"/>
      <c r="AB24" s="87"/>
      <c r="AC24" s="45">
        <v>46</v>
      </c>
      <c r="AD24" s="81"/>
      <c r="AE24" s="87"/>
      <c r="AF24" s="87"/>
      <c r="AG24" s="87"/>
      <c r="AH24" s="45">
        <f>'dati Area Minori e Famiglie'!AG248</f>
        <v>70</v>
      </c>
      <c r="AI24" s="45"/>
      <c r="AJ24" s="45"/>
      <c r="AK24" s="45"/>
      <c r="AL24" s="138"/>
      <c r="AM24" s="138"/>
      <c r="AN24" s="45"/>
      <c r="AO24" s="45"/>
    </row>
    <row r="25" spans="1:41" ht="18" customHeight="1">
      <c r="A25" s="159"/>
      <c r="B25" s="161"/>
      <c r="C25" s="6" t="s">
        <v>51</v>
      </c>
      <c r="D25" s="45">
        <v>254</v>
      </c>
      <c r="E25" s="45"/>
      <c r="F25" s="45"/>
      <c r="G25" s="45"/>
      <c r="H25" s="45"/>
      <c r="I25" s="45">
        <v>238</v>
      </c>
      <c r="J25" s="45"/>
      <c r="K25" s="45"/>
      <c r="L25" s="45"/>
      <c r="M25" s="45"/>
      <c r="N25" s="45">
        <v>254</v>
      </c>
      <c r="O25" s="81"/>
      <c r="P25" s="80"/>
      <c r="Q25" s="87"/>
      <c r="R25" s="87"/>
      <c r="S25" s="45">
        <f>'dati Area Minori e Famiglie'!R259</f>
        <v>222</v>
      </c>
      <c r="T25" s="81"/>
      <c r="U25" s="80"/>
      <c r="V25" s="87"/>
      <c r="W25" s="87"/>
      <c r="X25" s="45">
        <v>274</v>
      </c>
      <c r="Y25" s="81"/>
      <c r="Z25" s="87"/>
      <c r="AA25" s="87"/>
      <c r="AB25" s="87"/>
      <c r="AC25" s="45">
        <v>272</v>
      </c>
      <c r="AD25" s="81"/>
      <c r="AE25" s="87"/>
      <c r="AF25" s="87"/>
      <c r="AG25" s="87"/>
      <c r="AH25" s="45">
        <f>'dati Area Minori e Famiglie'!AG259</f>
        <v>259</v>
      </c>
      <c r="AI25" s="45"/>
      <c r="AJ25" s="45"/>
      <c r="AK25" s="45"/>
      <c r="AL25" s="138"/>
      <c r="AM25" s="138"/>
      <c r="AN25" s="45"/>
      <c r="AO25" s="45"/>
    </row>
    <row r="26" spans="1:41" ht="18" customHeight="1">
      <c r="A26" s="159"/>
      <c r="B26" s="161"/>
      <c r="C26" s="6" t="s">
        <v>87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81"/>
      <c r="P26" s="80"/>
      <c r="Q26" s="87"/>
      <c r="R26" s="87"/>
      <c r="S26" s="45">
        <f>'dati Area Minori e Famiglie'!R271</f>
        <v>52</v>
      </c>
      <c r="T26" s="81">
        <f>'dati Area Minori e Famiglie'!S271</f>
        <v>1479.0384615384614</v>
      </c>
      <c r="U26" s="80"/>
      <c r="V26" s="87"/>
      <c r="W26" s="87"/>
      <c r="X26" s="45">
        <v>76</v>
      </c>
      <c r="Y26" s="81">
        <f>'dati Area Minori e Famiglie'!X271</f>
        <v>1976.5738157894734</v>
      </c>
      <c r="Z26" s="87"/>
      <c r="AA26" s="87"/>
      <c r="AB26" s="87"/>
      <c r="AC26" s="45"/>
      <c r="AD26" s="81"/>
      <c r="AE26" s="87"/>
      <c r="AF26" s="87"/>
      <c r="AG26" s="87"/>
      <c r="AH26" s="45">
        <f>'dati Area Minori e Famiglie'!AG271</f>
        <v>0</v>
      </c>
      <c r="AI26" s="45"/>
      <c r="AJ26" s="45"/>
      <c r="AK26" s="45"/>
      <c r="AL26" s="138"/>
      <c r="AM26" s="138"/>
      <c r="AN26" s="45"/>
      <c r="AO26" s="45"/>
    </row>
    <row r="27" spans="1:41" ht="18" customHeight="1">
      <c r="A27" s="159"/>
      <c r="B27" s="162"/>
      <c r="C27" s="6" t="s">
        <v>28</v>
      </c>
      <c r="D27" s="45">
        <v>186</v>
      </c>
      <c r="E27" s="81">
        <f>1455431.93/186</f>
        <v>7824.902849462365</v>
      </c>
      <c r="F27" s="45"/>
      <c r="G27" s="45"/>
      <c r="H27" s="45"/>
      <c r="I27" s="45">
        <v>178</v>
      </c>
      <c r="J27" s="81">
        <f>1792678.58/178</f>
        <v>10071.22797752809</v>
      </c>
      <c r="K27" s="45"/>
      <c r="L27" s="45"/>
      <c r="M27" s="45"/>
      <c r="N27" s="45">
        <v>166</v>
      </c>
      <c r="O27" s="81">
        <v>8227.06</v>
      </c>
      <c r="P27" s="80"/>
      <c r="Q27" s="87"/>
      <c r="R27" s="87"/>
      <c r="S27" s="45">
        <f>'dati Area Minori e Famiglie'!R283</f>
        <v>162</v>
      </c>
      <c r="T27" s="81">
        <f>'dati Area Minori e Famiglie'!S283</f>
        <v>7435.858024691358</v>
      </c>
      <c r="U27" s="80"/>
      <c r="V27" s="87"/>
      <c r="W27" s="87"/>
      <c r="X27" s="45">
        <f>'dati Area Minori e Famiglie'!W283</f>
        <v>168</v>
      </c>
      <c r="Y27" s="81">
        <f>'dati Area Minori e Famiglie'!X283</f>
        <v>6331.960476190477</v>
      </c>
      <c r="Z27" s="87"/>
      <c r="AA27" s="87"/>
      <c r="AB27" s="87"/>
      <c r="AC27" s="45">
        <v>242</v>
      </c>
      <c r="AD27" s="81">
        <v>6585</v>
      </c>
      <c r="AE27" s="87"/>
      <c r="AF27" s="87"/>
      <c r="AG27" s="87"/>
      <c r="AH27" s="45">
        <f>'dati Area Minori e Famiglie'!AG283</f>
        <v>213</v>
      </c>
      <c r="AI27" s="45"/>
      <c r="AJ27" s="45"/>
      <c r="AK27" s="153" t="s">
        <v>99</v>
      </c>
      <c r="AL27" s="138">
        <f>'dati Area Minori e Famiglie'!AI283</f>
        <v>9106.990657276996</v>
      </c>
      <c r="AM27" s="138"/>
      <c r="AN27" s="45"/>
      <c r="AO27" s="45"/>
    </row>
    <row r="28" spans="1:41" ht="63">
      <c r="A28" s="159" t="s">
        <v>35</v>
      </c>
      <c r="B28" s="144"/>
      <c r="C28" s="45"/>
      <c r="D28" s="7" t="s">
        <v>29</v>
      </c>
      <c r="E28" s="8" t="s">
        <v>30</v>
      </c>
      <c r="F28" s="8" t="s">
        <v>58</v>
      </c>
      <c r="G28" s="8" t="s">
        <v>32</v>
      </c>
      <c r="H28" s="8" t="s">
        <v>31</v>
      </c>
      <c r="I28" s="7" t="s">
        <v>29</v>
      </c>
      <c r="J28" s="8" t="s">
        <v>30</v>
      </c>
      <c r="K28" s="8" t="s">
        <v>58</v>
      </c>
      <c r="L28" s="8" t="s">
        <v>32</v>
      </c>
      <c r="M28" s="8" t="s">
        <v>31</v>
      </c>
      <c r="N28" s="7" t="s">
        <v>29</v>
      </c>
      <c r="O28" s="8" t="s">
        <v>30</v>
      </c>
      <c r="P28" s="8" t="s">
        <v>58</v>
      </c>
      <c r="Q28" s="8" t="s">
        <v>32</v>
      </c>
      <c r="R28" s="8" t="s">
        <v>31</v>
      </c>
      <c r="S28" s="7" t="s">
        <v>29</v>
      </c>
      <c r="T28" s="8" t="s">
        <v>30</v>
      </c>
      <c r="U28" s="8" t="s">
        <v>58</v>
      </c>
      <c r="V28" s="8" t="s">
        <v>32</v>
      </c>
      <c r="W28" s="8" t="s">
        <v>31</v>
      </c>
      <c r="X28" s="7" t="s">
        <v>29</v>
      </c>
      <c r="Y28" s="8" t="s">
        <v>30</v>
      </c>
      <c r="Z28" s="8" t="s">
        <v>58</v>
      </c>
      <c r="AA28" s="8" t="s">
        <v>32</v>
      </c>
      <c r="AB28" s="8" t="s">
        <v>31</v>
      </c>
      <c r="AC28" s="7" t="s">
        <v>29</v>
      </c>
      <c r="AD28" s="8" t="s">
        <v>30</v>
      </c>
      <c r="AE28" s="8" t="s">
        <v>58</v>
      </c>
      <c r="AF28" s="8" t="s">
        <v>32</v>
      </c>
      <c r="AG28" s="8" t="s">
        <v>31</v>
      </c>
      <c r="AH28" s="7" t="s">
        <v>29</v>
      </c>
      <c r="AI28" s="7" t="s">
        <v>95</v>
      </c>
      <c r="AJ28" s="146" t="s">
        <v>96</v>
      </c>
      <c r="AK28" s="146" t="s">
        <v>97</v>
      </c>
      <c r="AL28" s="8" t="s">
        <v>30</v>
      </c>
      <c r="AM28" s="8" t="s">
        <v>58</v>
      </c>
      <c r="AN28" s="8" t="s">
        <v>32</v>
      </c>
      <c r="AO28" s="8" t="s">
        <v>31</v>
      </c>
    </row>
    <row r="29" spans="1:41" ht="18" customHeight="1">
      <c r="A29" s="159"/>
      <c r="B29" s="156" t="s">
        <v>35</v>
      </c>
      <c r="C29" s="6" t="s">
        <v>82</v>
      </c>
      <c r="D29" s="45">
        <v>420</v>
      </c>
      <c r="E29" s="45"/>
      <c r="F29" s="80"/>
      <c r="G29" s="14"/>
      <c r="H29" s="14"/>
      <c r="I29" s="45">
        <v>410</v>
      </c>
      <c r="J29" s="45"/>
      <c r="K29" s="80"/>
      <c r="L29" s="14"/>
      <c r="M29" s="14"/>
      <c r="N29" s="45">
        <v>356</v>
      </c>
      <c r="O29" s="81"/>
      <c r="P29" s="80"/>
      <c r="Q29" s="87"/>
      <c r="R29" s="87"/>
      <c r="S29" s="45">
        <v>578</v>
      </c>
      <c r="T29" s="81"/>
      <c r="U29" s="80"/>
      <c r="V29" s="87"/>
      <c r="W29" s="87"/>
      <c r="X29" s="45">
        <v>519</v>
      </c>
      <c r="Y29" s="87"/>
      <c r="Z29" s="87"/>
      <c r="AA29" s="87"/>
      <c r="AB29" s="87"/>
      <c r="AC29" s="45">
        <v>389</v>
      </c>
      <c r="AD29" s="91"/>
      <c r="AE29" s="87"/>
      <c r="AF29" s="87"/>
      <c r="AG29" s="87"/>
      <c r="AH29" s="45">
        <f>'dati Area Adulti '!AG14</f>
        <v>410</v>
      </c>
      <c r="AI29" s="145">
        <v>0.8757</v>
      </c>
      <c r="AJ29" s="145"/>
      <c r="AK29" s="145"/>
      <c r="AL29" s="80"/>
      <c r="AM29" s="45"/>
      <c r="AN29" s="45"/>
      <c r="AO29" s="45"/>
    </row>
    <row r="30" spans="1:41" s="35" customFormat="1" ht="19.5" customHeight="1">
      <c r="A30" s="159"/>
      <c r="B30" s="161"/>
      <c r="C30" s="125" t="s">
        <v>68</v>
      </c>
      <c r="D30" s="45">
        <v>165</v>
      </c>
      <c r="E30" s="14" t="s">
        <v>71</v>
      </c>
      <c r="F30" s="68">
        <v>1.9</v>
      </c>
      <c r="G30" s="14"/>
      <c r="H30" s="14"/>
      <c r="I30" s="45">
        <v>250</v>
      </c>
      <c r="J30" s="14"/>
      <c r="K30" s="68">
        <v>1.48</v>
      </c>
      <c r="L30" s="14"/>
      <c r="M30" s="14"/>
      <c r="N30" s="45">
        <v>163</v>
      </c>
      <c r="O30" s="81"/>
      <c r="P30" s="78">
        <v>2.96</v>
      </c>
      <c r="Q30" s="78"/>
      <c r="R30" s="78"/>
      <c r="S30" s="82">
        <f>+'dati Area Adulti '!R25</f>
        <v>123</v>
      </c>
      <c r="T30" s="81"/>
      <c r="U30" s="117">
        <f>+'dati Area Adulti '!T25</f>
        <v>3.4471544715447155</v>
      </c>
      <c r="V30" s="78"/>
      <c r="W30" s="78"/>
      <c r="X30" s="84">
        <f>+'dati Area Adulti '!W25</f>
        <v>71</v>
      </c>
      <c r="Y30" s="91"/>
      <c r="Z30" s="121">
        <f>+'dati Area Adulti '!Y25</f>
        <v>6.985915492957746</v>
      </c>
      <c r="AA30" s="91"/>
      <c r="AB30" s="91"/>
      <c r="AC30" s="84">
        <v>0</v>
      </c>
      <c r="AD30" s="91"/>
      <c r="AE30" s="121"/>
      <c r="AF30" s="91"/>
      <c r="AG30" s="91"/>
      <c r="AH30" s="84">
        <v>0</v>
      </c>
      <c r="AI30" s="84"/>
      <c r="AJ30" s="84"/>
      <c r="AK30" s="84"/>
      <c r="AL30" s="139"/>
      <c r="AM30" s="117"/>
      <c r="AN30" s="78"/>
      <c r="AO30" s="78"/>
    </row>
    <row r="31" spans="1:41" ht="19.5" customHeight="1">
      <c r="A31" s="159"/>
      <c r="B31" s="161"/>
      <c r="C31" s="6" t="s">
        <v>52</v>
      </c>
      <c r="D31" s="45">
        <v>186</v>
      </c>
      <c r="E31" s="81">
        <f>15776/D31</f>
        <v>84.81720430107526</v>
      </c>
      <c r="F31" s="80">
        <f>698/186</f>
        <v>3.752688172043011</v>
      </c>
      <c r="G31" s="45"/>
      <c r="H31" s="45"/>
      <c r="I31" s="45">
        <v>286</v>
      </c>
      <c r="J31" s="81">
        <f>17504.25/I31</f>
        <v>61.20367132867133</v>
      </c>
      <c r="K31" s="78">
        <v>2.63</v>
      </c>
      <c r="L31" s="45"/>
      <c r="M31" s="45"/>
      <c r="N31" s="45">
        <v>153</v>
      </c>
      <c r="O31" s="81">
        <v>98.04</v>
      </c>
      <c r="P31" s="78">
        <v>3.59</v>
      </c>
      <c r="Q31" s="87"/>
      <c r="R31" s="87"/>
      <c r="S31" s="82">
        <f>+'dati Area Adulti '!R36</f>
        <v>173</v>
      </c>
      <c r="T31" s="81"/>
      <c r="U31" s="117">
        <f>+'dati Area Adulti '!T36</f>
        <v>3.6242774566473988</v>
      </c>
      <c r="V31" s="87"/>
      <c r="W31" s="87"/>
      <c r="X31" s="45">
        <v>94</v>
      </c>
      <c r="Y31" s="87"/>
      <c r="Z31" s="87">
        <v>6.67</v>
      </c>
      <c r="AA31" s="87"/>
      <c r="AB31" s="87"/>
      <c r="AC31" s="45">
        <v>53</v>
      </c>
      <c r="AD31" s="91"/>
      <c r="AE31" s="87">
        <v>31.58</v>
      </c>
      <c r="AF31" s="87"/>
      <c r="AG31" s="87"/>
      <c r="AH31" s="82">
        <f>'dati Area Adulti '!AG36</f>
        <v>66</v>
      </c>
      <c r="AI31" s="82"/>
      <c r="AJ31" s="82"/>
      <c r="AK31" s="82"/>
      <c r="AL31" s="80"/>
      <c r="AM31" s="138">
        <f>'dati Area Adulti '!AJ36</f>
        <v>3.409090909090909</v>
      </c>
      <c r="AN31" s="45"/>
      <c r="AO31" s="45"/>
    </row>
    <row r="32" spans="1:41" ht="19.5" customHeight="1">
      <c r="A32" s="159"/>
      <c r="B32" s="161"/>
      <c r="C32" s="6" t="s">
        <v>69</v>
      </c>
      <c r="D32" s="45">
        <v>58</v>
      </c>
      <c r="E32" s="81">
        <f>81275.41/D32</f>
        <v>1401.3001724137932</v>
      </c>
      <c r="F32" s="45"/>
      <c r="G32" s="45"/>
      <c r="H32" s="45"/>
      <c r="I32" s="45">
        <v>92</v>
      </c>
      <c r="J32" s="81">
        <f>130826.82/I32</f>
        <v>1422.030652173913</v>
      </c>
      <c r="K32" s="45"/>
      <c r="L32" s="45"/>
      <c r="M32" s="45"/>
      <c r="N32" s="45">
        <v>106</v>
      </c>
      <c r="O32" s="81">
        <v>1424.28</v>
      </c>
      <c r="P32" s="87"/>
      <c r="Q32" s="87"/>
      <c r="R32" s="87"/>
      <c r="S32" s="82">
        <f>+'dati Area Adulti '!R47</f>
        <v>88</v>
      </c>
      <c r="T32" s="81">
        <f>+'dati Area Adulti '!S47</f>
        <v>1469.3213636363637</v>
      </c>
      <c r="U32" s="87"/>
      <c r="V32" s="87"/>
      <c r="W32" s="87"/>
      <c r="X32" s="45">
        <v>90</v>
      </c>
      <c r="Y32" s="87">
        <v>985.24</v>
      </c>
      <c r="Z32" s="87"/>
      <c r="AA32" s="87"/>
      <c r="AB32" s="87"/>
      <c r="AC32" s="45">
        <v>83</v>
      </c>
      <c r="AD32" s="81">
        <v>1068.33</v>
      </c>
      <c r="AE32" s="87"/>
      <c r="AF32" s="87"/>
      <c r="AG32" s="87"/>
      <c r="AH32" s="82">
        <f>'dati Area Adulti '!AG47</f>
        <v>93</v>
      </c>
      <c r="AI32" s="82"/>
      <c r="AJ32" s="82"/>
      <c r="AK32" s="82"/>
      <c r="AL32" s="80">
        <f>'dati Area Adulti '!AI47</f>
        <v>953.457311827957</v>
      </c>
      <c r="AM32" s="45"/>
      <c r="AN32" s="45"/>
      <c r="AO32" s="45"/>
    </row>
    <row r="33" spans="1:41" ht="19.5" customHeight="1">
      <c r="A33" s="159"/>
      <c r="B33" s="161"/>
      <c r="C33" s="6" t="s">
        <v>88</v>
      </c>
      <c r="D33" s="45">
        <v>132</v>
      </c>
      <c r="E33" s="81">
        <f>248436.47/D33</f>
        <v>1882.0944696969698</v>
      </c>
      <c r="F33" s="45"/>
      <c r="G33" s="45"/>
      <c r="H33" s="45"/>
      <c r="I33" s="45">
        <v>72</v>
      </c>
      <c r="J33" s="81">
        <f>172775.68/I33</f>
        <v>2399.662222222222</v>
      </c>
      <c r="K33" s="45"/>
      <c r="L33" s="45"/>
      <c r="M33" s="45"/>
      <c r="N33" s="45">
        <v>77</v>
      </c>
      <c r="O33" s="81">
        <v>1866.19</v>
      </c>
      <c r="P33" s="87"/>
      <c r="Q33" s="87"/>
      <c r="R33" s="87"/>
      <c r="S33" s="82">
        <f>+'dati Area Adulti '!R58</f>
        <v>74</v>
      </c>
      <c r="T33" s="81">
        <f>+'dati Area Adulti '!S58</f>
        <v>2010.5594594594593</v>
      </c>
      <c r="U33" s="87"/>
      <c r="V33" s="87"/>
      <c r="W33" s="87"/>
      <c r="X33" s="45">
        <v>0</v>
      </c>
      <c r="Y33" s="87"/>
      <c r="Z33" s="87"/>
      <c r="AA33" s="87"/>
      <c r="AB33" s="87"/>
      <c r="AC33" s="45">
        <v>0</v>
      </c>
      <c r="AD33" s="81"/>
      <c r="AE33" s="87"/>
      <c r="AF33" s="87"/>
      <c r="AG33" s="87"/>
      <c r="AH33" s="45"/>
      <c r="AI33" s="45"/>
      <c r="AJ33" s="45"/>
      <c r="AK33" s="45"/>
      <c r="AL33" s="80"/>
      <c r="AM33" s="45"/>
      <c r="AN33" s="45"/>
      <c r="AO33" s="45"/>
    </row>
    <row r="34" spans="1:41" ht="19.5" customHeight="1">
      <c r="A34" s="159"/>
      <c r="B34" s="161"/>
      <c r="C34" s="6" t="s">
        <v>84</v>
      </c>
      <c r="D34" s="45"/>
      <c r="E34" s="81"/>
      <c r="F34" s="45"/>
      <c r="G34" s="45"/>
      <c r="H34" s="45"/>
      <c r="I34" s="45"/>
      <c r="J34" s="81"/>
      <c r="K34" s="45"/>
      <c r="L34" s="45"/>
      <c r="M34" s="45"/>
      <c r="N34" s="45"/>
      <c r="O34" s="81"/>
      <c r="P34" s="87"/>
      <c r="Q34" s="87"/>
      <c r="R34" s="87"/>
      <c r="S34" s="82"/>
      <c r="T34" s="81"/>
      <c r="U34" s="87"/>
      <c r="V34" s="87"/>
      <c r="W34" s="87"/>
      <c r="X34" s="45">
        <v>57</v>
      </c>
      <c r="Y34" s="87">
        <v>1589.72</v>
      </c>
      <c r="Z34" s="87"/>
      <c r="AA34" s="87"/>
      <c r="AB34" s="87"/>
      <c r="AC34" s="45">
        <v>92</v>
      </c>
      <c r="AD34" s="81">
        <v>1510.54</v>
      </c>
      <c r="AE34" s="87"/>
      <c r="AF34" s="87"/>
      <c r="AG34" s="87"/>
      <c r="AH34" s="82">
        <f>'dati Area Adulti '!AG69</f>
        <v>73</v>
      </c>
      <c r="AI34" s="82"/>
      <c r="AJ34" s="82"/>
      <c r="AK34" s="82"/>
      <c r="AL34" s="80">
        <f>'dati Area Adulti '!AI69</f>
        <v>1903.6913698630137</v>
      </c>
      <c r="AM34" s="45"/>
      <c r="AN34" s="45"/>
      <c r="AO34" s="45"/>
    </row>
    <row r="35" spans="1:41" ht="19.5" customHeight="1">
      <c r="A35" s="159"/>
      <c r="B35" s="161"/>
      <c r="C35" s="6" t="s">
        <v>53</v>
      </c>
      <c r="D35" s="45">
        <v>70</v>
      </c>
      <c r="E35" s="81">
        <f>75268.97/D35</f>
        <v>1075.271</v>
      </c>
      <c r="F35" s="45"/>
      <c r="G35" s="45"/>
      <c r="H35" s="45"/>
      <c r="I35" s="45">
        <v>104</v>
      </c>
      <c r="J35" s="81">
        <f>94132.23/I35</f>
        <v>905.1175961538461</v>
      </c>
      <c r="K35" s="45"/>
      <c r="L35" s="45"/>
      <c r="M35" s="45"/>
      <c r="N35" s="45">
        <v>115</v>
      </c>
      <c r="O35" s="81">
        <v>936.56</v>
      </c>
      <c r="P35" s="87"/>
      <c r="Q35" s="87"/>
      <c r="R35" s="87"/>
      <c r="S35" s="82">
        <f>+'dati Area Adulti '!R80</f>
        <v>128</v>
      </c>
      <c r="T35" s="81">
        <f>+'dati Area Adulti '!S80</f>
        <v>838.01671875</v>
      </c>
      <c r="U35" s="87"/>
      <c r="V35" s="87"/>
      <c r="W35" s="87"/>
      <c r="X35" s="45">
        <v>121</v>
      </c>
      <c r="Y35" s="87">
        <v>1313.16</v>
      </c>
      <c r="Z35" s="87"/>
      <c r="AA35" s="87"/>
      <c r="AB35" s="87"/>
      <c r="AC35" s="45">
        <v>139</v>
      </c>
      <c r="AD35" s="81">
        <v>1108.56</v>
      </c>
      <c r="AE35" s="87"/>
      <c r="AF35" s="87"/>
      <c r="AG35" s="87"/>
      <c r="AH35" s="82">
        <f>'dati Area Adulti '!AG80</f>
        <v>135</v>
      </c>
      <c r="AI35" s="82"/>
      <c r="AJ35" s="82"/>
      <c r="AK35" s="82"/>
      <c r="AL35" s="80">
        <f>'dati Area Adulti '!AI80</f>
        <v>1141.4030370370372</v>
      </c>
      <c r="AM35" s="45"/>
      <c r="AN35" s="45"/>
      <c r="AO35" s="45"/>
    </row>
    <row r="36" spans="1:41" ht="19.5" customHeight="1">
      <c r="A36" s="159"/>
      <c r="B36" s="161"/>
      <c r="C36" s="6" t="s">
        <v>28</v>
      </c>
      <c r="D36" s="45">
        <v>7</v>
      </c>
      <c r="E36" s="81">
        <v>9114.62</v>
      </c>
      <c r="F36" s="45"/>
      <c r="G36" s="45"/>
      <c r="H36" s="45"/>
      <c r="I36" s="45">
        <v>7</v>
      </c>
      <c r="J36" s="81">
        <v>2946.42</v>
      </c>
      <c r="K36" s="85"/>
      <c r="L36" s="45"/>
      <c r="M36" s="45"/>
      <c r="N36" s="45">
        <v>10</v>
      </c>
      <c r="O36" s="81">
        <v>4305</v>
      </c>
      <c r="P36" s="87"/>
      <c r="Q36" s="87"/>
      <c r="R36" s="87"/>
      <c r="S36" s="82">
        <f>+'dati Area Adulti '!R91</f>
        <v>10</v>
      </c>
      <c r="T36" s="81">
        <f>+'dati Area Adulti '!S91</f>
        <v>4102.696</v>
      </c>
      <c r="U36" s="87"/>
      <c r="V36" s="87"/>
      <c r="W36" s="87"/>
      <c r="X36" s="45">
        <v>12</v>
      </c>
      <c r="Y36" s="87">
        <v>13271.92</v>
      </c>
      <c r="Z36" s="87"/>
      <c r="AA36" s="87"/>
      <c r="AB36" s="87"/>
      <c r="AC36" s="45">
        <v>12</v>
      </c>
      <c r="AD36" s="81">
        <v>4942.67</v>
      </c>
      <c r="AE36" s="87"/>
      <c r="AF36" s="87"/>
      <c r="AG36" s="87"/>
      <c r="AH36" s="82">
        <f>'dati Area Adulti '!AG91</f>
        <v>18</v>
      </c>
      <c r="AI36" s="82"/>
      <c r="AJ36" s="82"/>
      <c r="AL36" s="80">
        <f>'dati Area Adulti '!AI91</f>
        <v>3295.1155555555556</v>
      </c>
      <c r="AM36" s="45"/>
      <c r="AN36" s="45"/>
      <c r="AO36" s="45"/>
    </row>
    <row r="37" spans="1:41" ht="19.5" customHeight="1">
      <c r="A37" s="159"/>
      <c r="B37" s="162"/>
      <c r="C37" s="6" t="s">
        <v>54</v>
      </c>
      <c r="D37" s="45">
        <v>11</v>
      </c>
      <c r="E37" s="81"/>
      <c r="F37" s="45"/>
      <c r="G37" s="45"/>
      <c r="H37" s="45"/>
      <c r="I37" s="45">
        <v>10</v>
      </c>
      <c r="J37" s="81"/>
      <c r="K37" s="45"/>
      <c r="L37" s="45"/>
      <c r="M37" s="45"/>
      <c r="N37" s="45">
        <v>13</v>
      </c>
      <c r="O37" s="81"/>
      <c r="P37" s="93"/>
      <c r="Q37" s="93"/>
      <c r="R37" s="93"/>
      <c r="S37" s="82">
        <f>+'dati Area Adulti '!R102</f>
        <v>13</v>
      </c>
      <c r="T37" s="81">
        <f>+'dati Area Adulti '!S102</f>
        <v>0</v>
      </c>
      <c r="U37" s="93"/>
      <c r="V37" s="93"/>
      <c r="W37" s="93"/>
      <c r="X37" s="45">
        <v>193</v>
      </c>
      <c r="Y37" s="87">
        <v>1958.02</v>
      </c>
      <c r="Z37" s="87"/>
      <c r="AA37" s="87"/>
      <c r="AB37" s="87"/>
      <c r="AC37" s="45">
        <v>216</v>
      </c>
      <c r="AD37" s="81">
        <v>1536.1</v>
      </c>
      <c r="AE37" s="87"/>
      <c r="AF37" s="87"/>
      <c r="AG37" s="87"/>
      <c r="AH37" s="82">
        <f>'dati Area Adulti '!AG102</f>
        <v>246</v>
      </c>
      <c r="AI37" s="82"/>
      <c r="AJ37" s="82"/>
      <c r="AK37" s="82"/>
      <c r="AL37" s="80">
        <f>'dati Area Adulti '!AI102</f>
        <v>1348.7732520325203</v>
      </c>
      <c r="AM37" s="45"/>
      <c r="AN37" s="45"/>
      <c r="AO37" s="45"/>
    </row>
    <row r="38" spans="1:41" ht="59.25" customHeight="1">
      <c r="A38" s="159" t="s">
        <v>33</v>
      </c>
      <c r="B38" s="144"/>
      <c r="C38" s="45"/>
      <c r="D38" s="7" t="s">
        <v>29</v>
      </c>
      <c r="E38" s="8" t="s">
        <v>30</v>
      </c>
      <c r="F38" s="8" t="s">
        <v>58</v>
      </c>
      <c r="G38" s="8" t="s">
        <v>32</v>
      </c>
      <c r="H38" s="8" t="s">
        <v>31</v>
      </c>
      <c r="I38" s="7" t="s">
        <v>29</v>
      </c>
      <c r="J38" s="8" t="s">
        <v>30</v>
      </c>
      <c r="K38" s="8" t="s">
        <v>58</v>
      </c>
      <c r="L38" s="8" t="s">
        <v>32</v>
      </c>
      <c r="M38" s="8" t="s">
        <v>31</v>
      </c>
      <c r="N38" s="7" t="s">
        <v>29</v>
      </c>
      <c r="O38" s="8" t="s">
        <v>30</v>
      </c>
      <c r="P38" s="8" t="s">
        <v>58</v>
      </c>
      <c r="Q38" s="8" t="s">
        <v>32</v>
      </c>
      <c r="R38" s="8" t="s">
        <v>31</v>
      </c>
      <c r="S38" s="7" t="s">
        <v>29</v>
      </c>
      <c r="T38" s="8" t="s">
        <v>30</v>
      </c>
      <c r="U38" s="8" t="s">
        <v>58</v>
      </c>
      <c r="V38" s="8" t="s">
        <v>32</v>
      </c>
      <c r="W38" s="8" t="s">
        <v>31</v>
      </c>
      <c r="X38" s="7" t="s">
        <v>29</v>
      </c>
      <c r="Y38" s="8" t="s">
        <v>30</v>
      </c>
      <c r="Z38" s="8" t="s">
        <v>58</v>
      </c>
      <c r="AA38" s="8" t="s">
        <v>32</v>
      </c>
      <c r="AB38" s="8" t="s">
        <v>31</v>
      </c>
      <c r="AC38" s="7" t="s">
        <v>29</v>
      </c>
      <c r="AD38" s="8" t="s">
        <v>30</v>
      </c>
      <c r="AE38" s="8" t="s">
        <v>58</v>
      </c>
      <c r="AF38" s="8" t="s">
        <v>32</v>
      </c>
      <c r="AG38" s="8" t="s">
        <v>31</v>
      </c>
      <c r="AH38" s="7" t="s">
        <v>29</v>
      </c>
      <c r="AI38" s="7" t="s">
        <v>95</v>
      </c>
      <c r="AJ38" s="146" t="s">
        <v>96</v>
      </c>
      <c r="AK38" s="146" t="s">
        <v>97</v>
      </c>
      <c r="AL38" s="8" t="s">
        <v>30</v>
      </c>
      <c r="AM38" s="8" t="s">
        <v>58</v>
      </c>
      <c r="AN38" s="8" t="s">
        <v>32</v>
      </c>
      <c r="AO38" s="8" t="s">
        <v>31</v>
      </c>
    </row>
    <row r="39" spans="1:41" s="35" customFormat="1" ht="21" customHeight="1">
      <c r="A39" s="159"/>
      <c r="B39" s="156" t="s">
        <v>33</v>
      </c>
      <c r="C39" s="6" t="s">
        <v>82</v>
      </c>
      <c r="D39" s="82"/>
      <c r="E39" s="14"/>
      <c r="F39" s="14"/>
      <c r="G39" s="14"/>
      <c r="H39" s="14"/>
      <c r="I39" s="45"/>
      <c r="J39" s="14"/>
      <c r="K39" s="14"/>
      <c r="L39" s="14"/>
      <c r="M39" s="14"/>
      <c r="N39" s="78"/>
      <c r="O39" s="91"/>
      <c r="P39" s="91"/>
      <c r="Q39" s="91"/>
      <c r="R39" s="91"/>
      <c r="S39" s="84"/>
      <c r="T39" s="91"/>
      <c r="U39" s="91"/>
      <c r="V39" s="91"/>
      <c r="W39" s="91"/>
      <c r="X39" s="78">
        <v>1880</v>
      </c>
      <c r="Y39" s="91"/>
      <c r="Z39" s="91"/>
      <c r="AA39" s="91"/>
      <c r="AB39" s="91"/>
      <c r="AC39" s="78">
        <v>2311</v>
      </c>
      <c r="AD39" s="91"/>
      <c r="AE39" s="91"/>
      <c r="AF39" s="91"/>
      <c r="AG39" s="91"/>
      <c r="AH39" s="78">
        <v>2589</v>
      </c>
      <c r="AI39" s="78"/>
      <c r="AJ39" s="78"/>
      <c r="AK39" s="78"/>
      <c r="AL39" s="78"/>
      <c r="AM39" s="78"/>
      <c r="AN39" s="78"/>
      <c r="AO39" s="78"/>
    </row>
    <row r="40" spans="1:41" s="35" customFormat="1" ht="21" customHeight="1">
      <c r="A40" s="159"/>
      <c r="B40" s="161"/>
      <c r="C40" s="6" t="s">
        <v>80</v>
      </c>
      <c r="D40" s="82">
        <v>124</v>
      </c>
      <c r="E40" s="14"/>
      <c r="F40" s="14"/>
      <c r="G40" s="14"/>
      <c r="H40" s="14"/>
      <c r="I40" s="45">
        <v>230</v>
      </c>
      <c r="J40" s="14"/>
      <c r="K40" s="14"/>
      <c r="L40" s="14"/>
      <c r="M40" s="14"/>
      <c r="N40" s="78">
        <f>'dati Area Anziani'!M24</f>
        <v>281</v>
      </c>
      <c r="O40" s="91"/>
      <c r="P40" s="91"/>
      <c r="Q40" s="91"/>
      <c r="R40" s="91"/>
      <c r="S40" s="84">
        <f>'dati Area Anziani'!R24</f>
        <v>233</v>
      </c>
      <c r="T40" s="91"/>
      <c r="U40" s="91"/>
      <c r="V40" s="91"/>
      <c r="W40" s="91"/>
      <c r="X40" s="78">
        <v>301</v>
      </c>
      <c r="Y40" s="91"/>
      <c r="Z40" s="91"/>
      <c r="AA40" s="91"/>
      <c r="AB40" s="91"/>
      <c r="AC40" s="78">
        <v>296</v>
      </c>
      <c r="AD40" s="91"/>
      <c r="AE40" s="91"/>
      <c r="AF40" s="91"/>
      <c r="AG40" s="91"/>
      <c r="AH40" s="78">
        <v>298</v>
      </c>
      <c r="AI40" s="78"/>
      <c r="AJ40" s="78"/>
      <c r="AK40" s="78"/>
      <c r="AL40" s="78"/>
      <c r="AM40" s="78"/>
      <c r="AN40" s="78"/>
      <c r="AO40" s="78"/>
    </row>
    <row r="41" spans="1:41" s="35" customFormat="1" ht="21" customHeight="1">
      <c r="A41" s="159"/>
      <c r="B41" s="161"/>
      <c r="C41" s="6" t="s">
        <v>81</v>
      </c>
      <c r="D41" s="45">
        <v>128</v>
      </c>
      <c r="E41" s="14"/>
      <c r="F41" s="14"/>
      <c r="G41" s="14"/>
      <c r="H41" s="14"/>
      <c r="I41" s="78">
        <v>150</v>
      </c>
      <c r="J41" s="14"/>
      <c r="K41" s="14"/>
      <c r="L41" s="14"/>
      <c r="M41" s="14"/>
      <c r="N41" s="78">
        <v>120</v>
      </c>
      <c r="O41" s="91"/>
      <c r="P41" s="91"/>
      <c r="Q41" s="91"/>
      <c r="R41" s="91"/>
      <c r="S41" s="84">
        <f>'dati Area Anziani'!R35</f>
        <v>172</v>
      </c>
      <c r="T41" s="91"/>
      <c r="U41" s="91"/>
      <c r="V41" s="91"/>
      <c r="W41" s="91"/>
      <c r="X41" s="78">
        <v>100</v>
      </c>
      <c r="Y41" s="91"/>
      <c r="Z41" s="91"/>
      <c r="AA41" s="91"/>
      <c r="AB41" s="91"/>
      <c r="AC41" s="78">
        <v>165</v>
      </c>
      <c r="AD41" s="91"/>
      <c r="AE41" s="91"/>
      <c r="AF41" s="91"/>
      <c r="AG41" s="91"/>
      <c r="AH41" s="78">
        <v>185</v>
      </c>
      <c r="AI41" s="78"/>
      <c r="AJ41" s="78"/>
      <c r="AK41" s="78"/>
      <c r="AL41" s="78"/>
      <c r="AM41" s="78"/>
      <c r="AN41" s="78"/>
      <c r="AO41" s="78"/>
    </row>
    <row r="42" spans="1:41" s="35" customFormat="1" ht="21" customHeight="1">
      <c r="A42" s="159"/>
      <c r="B42" s="161"/>
      <c r="C42" s="6" t="s">
        <v>79</v>
      </c>
      <c r="D42" s="82"/>
      <c r="E42" s="14"/>
      <c r="F42" s="14"/>
      <c r="G42" s="14"/>
      <c r="H42" s="14"/>
      <c r="I42" s="45">
        <v>115</v>
      </c>
      <c r="J42" s="14"/>
      <c r="K42" s="14"/>
      <c r="L42" s="14"/>
      <c r="M42" s="14"/>
      <c r="N42" s="78">
        <v>187</v>
      </c>
      <c r="O42" s="81">
        <v>2269.64</v>
      </c>
      <c r="P42" s="91"/>
      <c r="Q42" s="91"/>
      <c r="R42" s="91"/>
      <c r="S42" s="84">
        <f>'dati Area Anziani'!R46</f>
        <v>60</v>
      </c>
      <c r="T42" s="81">
        <f>'dati Area Anziani'!S46</f>
        <v>4968.6645</v>
      </c>
      <c r="U42" s="91"/>
      <c r="V42" s="91"/>
      <c r="W42" s="91"/>
      <c r="X42" s="78">
        <v>122</v>
      </c>
      <c r="Y42" s="81">
        <v>1908.22</v>
      </c>
      <c r="Z42" s="91"/>
      <c r="AA42" s="91"/>
      <c r="AB42" s="91"/>
      <c r="AC42" s="78">
        <v>74</v>
      </c>
      <c r="AD42" s="81">
        <v>3036.38</v>
      </c>
      <c r="AE42" s="91"/>
      <c r="AF42" s="91"/>
      <c r="AG42" s="91"/>
      <c r="AH42" s="78">
        <v>79</v>
      </c>
      <c r="AI42" s="78"/>
      <c r="AJ42" s="78"/>
      <c r="AK42" s="78"/>
      <c r="AL42" s="81">
        <v>2572</v>
      </c>
      <c r="AM42" s="78"/>
      <c r="AN42" s="78"/>
      <c r="AO42" s="78"/>
    </row>
    <row r="43" spans="1:41" ht="18" customHeight="1">
      <c r="A43" s="159"/>
      <c r="B43" s="161"/>
      <c r="C43" s="6" t="s">
        <v>0</v>
      </c>
      <c r="D43" s="82">
        <f>'dati Area Anziani'!C57</f>
        <v>97</v>
      </c>
      <c r="E43" s="81">
        <f>'dati Area Anziani'!D57</f>
        <v>1424.8803092783508</v>
      </c>
      <c r="F43" s="80">
        <f>'dati Area Anziani'!E57</f>
        <v>53.11340206185567</v>
      </c>
      <c r="G43" s="45"/>
      <c r="H43" s="45"/>
      <c r="I43" s="45">
        <f>'dati Area Anziani'!H57</f>
        <v>135</v>
      </c>
      <c r="J43" s="81">
        <f>'dati Area Anziani'!I57</f>
        <v>949.1448888888889</v>
      </c>
      <c r="K43" s="80">
        <f>'dati Area Anziani'!J57</f>
        <v>33.8897037037037</v>
      </c>
      <c r="L43" s="45"/>
      <c r="M43" s="45"/>
      <c r="N43" s="45">
        <f>'dati Area Anziani'!M57</f>
        <v>165</v>
      </c>
      <c r="O43" s="81">
        <f>'dati Area Anziani'!N57</f>
        <v>842.52</v>
      </c>
      <c r="P43" s="92">
        <f>'dati Area Anziani'!O57</f>
        <v>30.368060606060602</v>
      </c>
      <c r="Q43" s="87"/>
      <c r="R43" s="87"/>
      <c r="S43" s="82">
        <f>'dati Area Anziani'!R57</f>
        <v>200</v>
      </c>
      <c r="T43" s="81">
        <f>'dati Area Anziani'!S57</f>
        <v>744</v>
      </c>
      <c r="U43" s="80">
        <f>'dati Area Anziani'!T57</f>
        <v>21.02</v>
      </c>
      <c r="V43" s="87"/>
      <c r="W43" s="87"/>
      <c r="X43" s="45">
        <v>219</v>
      </c>
      <c r="Y43" s="81">
        <v>650.81</v>
      </c>
      <c r="Z43" s="87">
        <v>19.6</v>
      </c>
      <c r="AA43" s="87"/>
      <c r="AB43" s="87"/>
      <c r="AC43" s="45">
        <v>262</v>
      </c>
      <c r="AD43" s="81">
        <v>596.98</v>
      </c>
      <c r="AE43" s="87">
        <v>17.6</v>
      </c>
      <c r="AF43" s="87"/>
      <c r="AG43" s="87"/>
      <c r="AH43" s="45">
        <v>271</v>
      </c>
      <c r="AI43" s="45"/>
      <c r="AJ43" s="45"/>
      <c r="AK43" s="45"/>
      <c r="AL43" s="81">
        <v>578</v>
      </c>
      <c r="AM43" s="45">
        <v>20.61</v>
      </c>
      <c r="AN43" s="45"/>
      <c r="AO43" s="45"/>
    </row>
    <row r="44" spans="1:41" ht="18" customHeight="1">
      <c r="A44" s="159"/>
      <c r="B44" s="161"/>
      <c r="C44" s="6" t="s">
        <v>1</v>
      </c>
      <c r="D44" s="82">
        <f>'dati Area Anziani'!C68</f>
        <v>519</v>
      </c>
      <c r="E44" s="81">
        <f>'dati Area Anziani'!D68</f>
        <v>2097.92732177264</v>
      </c>
      <c r="F44" s="45"/>
      <c r="G44" s="45"/>
      <c r="H44" s="45"/>
      <c r="I44" s="45">
        <f>'dati Area Anziani'!H68</f>
        <v>476</v>
      </c>
      <c r="J44" s="81">
        <f>'dati Area Anziani'!I68</f>
        <v>1326.8082983193278</v>
      </c>
      <c r="K44" s="80">
        <f>'dati Area Anziani'!J68</f>
        <v>63.338235294117645</v>
      </c>
      <c r="L44" s="45"/>
      <c r="M44" s="45"/>
      <c r="N44" s="45">
        <f>'dati Area Anziani'!M68</f>
        <v>447</v>
      </c>
      <c r="O44" s="81">
        <f>'dati Area Anziani'!N68</f>
        <v>1473.9211409395973</v>
      </c>
      <c r="P44" s="92">
        <f>'dati Area Anziani'!O68</f>
        <v>67.94420581655481</v>
      </c>
      <c r="Q44" s="87"/>
      <c r="R44" s="87"/>
      <c r="S44" s="45">
        <f>'dati Area Anziani'!R68</f>
        <v>389</v>
      </c>
      <c r="T44" s="81">
        <f>'dati Area Anziani'!S68</f>
        <v>1630.237095115681</v>
      </c>
      <c r="U44" s="80">
        <f>'dati Area Anziani'!T68</f>
        <v>75.78228791773779</v>
      </c>
      <c r="V44" s="87"/>
      <c r="W44" s="87"/>
      <c r="X44" s="45">
        <v>367</v>
      </c>
      <c r="Y44" s="81">
        <v>1508.32</v>
      </c>
      <c r="Z44" s="87">
        <v>73.61</v>
      </c>
      <c r="AA44" s="87"/>
      <c r="AB44" s="87"/>
      <c r="AC44" s="45">
        <v>331</v>
      </c>
      <c r="AD44" s="81">
        <v>1753.65</v>
      </c>
      <c r="AE44" s="87">
        <v>77.45</v>
      </c>
      <c r="AF44" s="87"/>
      <c r="AG44" s="87"/>
      <c r="AH44" s="45">
        <v>337</v>
      </c>
      <c r="AI44" s="45"/>
      <c r="AJ44" s="45"/>
      <c r="AK44" s="45"/>
      <c r="AL44" s="81">
        <v>1732.25</v>
      </c>
      <c r="AM44" s="45">
        <v>80.79</v>
      </c>
      <c r="AN44" s="45"/>
      <c r="AO44" s="45"/>
    </row>
    <row r="45" spans="1:41" ht="18" customHeight="1">
      <c r="A45" s="159"/>
      <c r="B45" s="161"/>
      <c r="C45" s="6" t="s">
        <v>2</v>
      </c>
      <c r="D45" s="82">
        <f>'dati Area Anziani'!C79</f>
        <v>195</v>
      </c>
      <c r="E45" s="81">
        <f>'dati Area Anziani'!D79</f>
        <v>784.4307692307692</v>
      </c>
      <c r="F45" s="80">
        <f>'dati Area Anziani'!E79</f>
        <v>165.16923076923078</v>
      </c>
      <c r="G45" s="45"/>
      <c r="H45" s="45"/>
      <c r="I45" s="45">
        <f>'dati Area Anziani'!H79</f>
        <v>179</v>
      </c>
      <c r="J45" s="81">
        <f>'dati Area Anziani'!I79</f>
        <v>827.3470949720671</v>
      </c>
      <c r="K45" s="80">
        <f>'dati Area Anziani'!J79</f>
        <v>159.60335195530726</v>
      </c>
      <c r="L45" s="45"/>
      <c r="M45" s="45"/>
      <c r="N45" s="45">
        <f>'dati Area Anziani'!M79</f>
        <v>193</v>
      </c>
      <c r="O45" s="81">
        <f>'dati Area Anziani'!N79</f>
        <v>876.8718652849741</v>
      </c>
      <c r="P45" s="92">
        <f>'dati Area Anziani'!O79</f>
        <v>174.7098445595855</v>
      </c>
      <c r="Q45" s="87"/>
      <c r="R45" s="87"/>
      <c r="S45" s="45">
        <f>'dati Area Anziani'!R79</f>
        <v>221</v>
      </c>
      <c r="T45" s="81">
        <f>'dati Area Anziani'!S79</f>
        <v>763.4484162895928</v>
      </c>
      <c r="U45" s="80">
        <f>'dati Area Anziani'!T79</f>
        <v>147.7058823529412</v>
      </c>
      <c r="V45" s="87"/>
      <c r="W45" s="87"/>
      <c r="X45" s="45">
        <v>198</v>
      </c>
      <c r="Y45" s="81">
        <v>888.01</v>
      </c>
      <c r="Z45" s="87">
        <v>169.02</v>
      </c>
      <c r="AA45" s="87"/>
      <c r="AB45" s="87"/>
      <c r="AC45" s="45">
        <v>191</v>
      </c>
      <c r="AD45" s="81">
        <v>911.56</v>
      </c>
      <c r="AE45" s="87">
        <v>163.03</v>
      </c>
      <c r="AF45" s="87"/>
      <c r="AG45" s="87"/>
      <c r="AH45" s="45">
        <v>170</v>
      </c>
      <c r="AI45" s="45"/>
      <c r="AJ45" s="45"/>
      <c r="AK45" s="45"/>
      <c r="AL45" s="81">
        <v>1298.37</v>
      </c>
      <c r="AM45" s="45">
        <v>176.39</v>
      </c>
      <c r="AN45" s="45"/>
      <c r="AO45" s="45"/>
    </row>
    <row r="46" spans="1:41" ht="18" customHeight="1">
      <c r="A46" s="159"/>
      <c r="B46" s="161"/>
      <c r="C46" s="6" t="s">
        <v>3</v>
      </c>
      <c r="D46" s="82">
        <f>'dati Area Anziani'!C90</f>
        <v>316</v>
      </c>
      <c r="E46" s="81"/>
      <c r="F46" s="45"/>
      <c r="G46" s="45"/>
      <c r="H46" s="45"/>
      <c r="I46" s="45">
        <f>'dati Area Anziani'!H90</f>
        <v>276</v>
      </c>
      <c r="J46" s="81"/>
      <c r="K46" s="45"/>
      <c r="L46" s="45"/>
      <c r="M46" s="45"/>
      <c r="N46" s="82">
        <f>'dati Area Anziani'!M90</f>
        <v>273</v>
      </c>
      <c r="O46" s="81"/>
      <c r="P46" s="87"/>
      <c r="Q46" s="87"/>
      <c r="R46" s="87"/>
      <c r="S46" s="82">
        <f>'dati Area Anziani'!R90</f>
        <v>268</v>
      </c>
      <c r="T46" s="81">
        <f>'dati Area Anziani'!S90</f>
        <v>858.6686194029851</v>
      </c>
      <c r="U46" s="80">
        <f>'dati Area Anziani'!T90</f>
        <v>20.927114427860698</v>
      </c>
      <c r="V46" s="87"/>
      <c r="W46" s="87"/>
      <c r="X46" s="45">
        <v>200</v>
      </c>
      <c r="Y46" s="81">
        <v>490.22</v>
      </c>
      <c r="Z46" s="87">
        <v>14.54</v>
      </c>
      <c r="AA46" s="87"/>
      <c r="AB46" s="87"/>
      <c r="AC46" s="45">
        <v>152</v>
      </c>
      <c r="AD46" s="81">
        <v>504.69</v>
      </c>
      <c r="AE46" s="87">
        <v>21.36</v>
      </c>
      <c r="AF46" s="87"/>
      <c r="AG46" s="87"/>
      <c r="AH46" s="45">
        <v>152</v>
      </c>
      <c r="AI46" s="45"/>
      <c r="AJ46" s="45"/>
      <c r="AK46" s="45"/>
      <c r="AL46" s="81">
        <v>696.18</v>
      </c>
      <c r="AM46" s="45">
        <v>23.9</v>
      </c>
      <c r="AN46" s="45"/>
      <c r="AO46" s="45"/>
    </row>
    <row r="47" spans="1:41" ht="18" customHeight="1">
      <c r="A47" s="159"/>
      <c r="B47" s="161"/>
      <c r="C47" s="6" t="s">
        <v>4</v>
      </c>
      <c r="D47" s="82">
        <f>'dati Area Anziani'!C101</f>
        <v>211</v>
      </c>
      <c r="E47" s="81">
        <f>'dati Area Anziani'!D101</f>
        <v>5742.432369668247</v>
      </c>
      <c r="F47" s="80">
        <f>'dati Area Anziani'!E101</f>
        <v>103.97156398104265</v>
      </c>
      <c r="G47" s="80">
        <f>'dati Area Anziani'!F101</f>
        <v>17.397303727200633</v>
      </c>
      <c r="H47" s="45"/>
      <c r="I47" s="45">
        <f>'dati Area Anziani'!H101</f>
        <v>201</v>
      </c>
      <c r="J47" s="81">
        <f>'dati Area Anziani'!I101</f>
        <v>6092.086119402986</v>
      </c>
      <c r="K47" s="80">
        <f>'dati Area Anziani'!J101</f>
        <v>102.2089552238806</v>
      </c>
      <c r="L47" s="80">
        <f>'dati Area Anziani'!K101</f>
        <v>16.514469453376204</v>
      </c>
      <c r="M47" s="45"/>
      <c r="N47" s="45">
        <f>'dati Area Anziani'!M101</f>
        <v>233</v>
      </c>
      <c r="O47" s="81">
        <f>'dati Area Anziani'!N101</f>
        <v>6099.956824034334</v>
      </c>
      <c r="P47" s="92">
        <f>'dati Area Anziani'!O101</f>
        <v>135.22317596566523</v>
      </c>
      <c r="Q47" s="92">
        <f>'dati Area Anziani'!P101</f>
        <v>18.469927826784282</v>
      </c>
      <c r="R47" s="87"/>
      <c r="S47" s="45">
        <f>'dati Area Anziani'!R101</f>
        <v>265</v>
      </c>
      <c r="T47" s="81">
        <f>'dati Area Anziani'!S101</f>
        <v>5579.275509433963</v>
      </c>
      <c r="U47" s="80">
        <f>'dati Area Anziani'!T101</f>
        <v>124.82641509433962</v>
      </c>
      <c r="V47" s="92"/>
      <c r="W47" s="87"/>
      <c r="X47" s="45">
        <v>272</v>
      </c>
      <c r="Y47" s="81">
        <v>5048.33</v>
      </c>
      <c r="Z47" s="87">
        <v>97.76</v>
      </c>
      <c r="AA47" s="87"/>
      <c r="AB47" s="87"/>
      <c r="AC47" s="45">
        <v>326</v>
      </c>
      <c r="AD47" s="81">
        <v>5149</v>
      </c>
      <c r="AE47" s="87">
        <v>129.16</v>
      </c>
      <c r="AF47" s="87"/>
      <c r="AG47" s="87"/>
      <c r="AH47" s="45">
        <v>317</v>
      </c>
      <c r="AI47" s="45"/>
      <c r="AJ47" s="145">
        <v>0.9243</v>
      </c>
      <c r="AK47" s="145"/>
      <c r="AL47" s="81">
        <v>4595.66</v>
      </c>
      <c r="AM47" s="45">
        <v>99.26</v>
      </c>
      <c r="AN47" s="45"/>
      <c r="AO47" s="45"/>
    </row>
    <row r="48" spans="1:41" ht="18" customHeight="1">
      <c r="A48" s="159"/>
      <c r="B48" s="161"/>
      <c r="C48" s="6" t="s">
        <v>5</v>
      </c>
      <c r="D48" s="82">
        <f>'dati Area Anziani'!C112</f>
        <v>102</v>
      </c>
      <c r="E48" s="81"/>
      <c r="F48" s="82"/>
      <c r="G48" s="45"/>
      <c r="H48" s="45"/>
      <c r="I48" s="45">
        <f>'dati Area Anziani'!H112</f>
        <v>91</v>
      </c>
      <c r="J48" s="81"/>
      <c r="K48" s="82"/>
      <c r="L48" s="45"/>
      <c r="M48" s="45"/>
      <c r="N48" s="45">
        <f>'dati Area Anziani'!M112</f>
        <v>99</v>
      </c>
      <c r="O48" s="81"/>
      <c r="P48" s="87"/>
      <c r="Q48" s="87"/>
      <c r="R48" s="87"/>
      <c r="S48" s="45">
        <f>'dati Area Anziani'!R112</f>
        <v>95</v>
      </c>
      <c r="T48" s="87"/>
      <c r="U48" s="87"/>
      <c r="V48" s="87"/>
      <c r="W48" s="87"/>
      <c r="X48" s="45">
        <v>114</v>
      </c>
      <c r="Y48" s="81"/>
      <c r="Z48" s="87"/>
      <c r="AA48" s="87"/>
      <c r="AB48" s="87"/>
      <c r="AC48" s="45">
        <v>41</v>
      </c>
      <c r="AD48" s="81"/>
      <c r="AE48" s="87"/>
      <c r="AF48" s="87"/>
      <c r="AG48" s="87"/>
      <c r="AH48" s="45">
        <v>33</v>
      </c>
      <c r="AI48" s="45"/>
      <c r="AJ48" s="45"/>
      <c r="AK48" s="45"/>
      <c r="AL48" s="81"/>
      <c r="AM48" s="45"/>
      <c r="AN48" s="45"/>
      <c r="AO48" s="45"/>
    </row>
    <row r="49" spans="1:41" ht="18" customHeight="1">
      <c r="A49" s="159"/>
      <c r="B49" s="161"/>
      <c r="C49" s="6" t="s">
        <v>6</v>
      </c>
      <c r="D49" s="82">
        <f>'dati Area Anziani'!C123</f>
        <v>42</v>
      </c>
      <c r="E49" s="81">
        <f>'dati Area Anziani'!D123</f>
        <v>1109.8095238095239</v>
      </c>
      <c r="F49" s="45"/>
      <c r="G49" s="45"/>
      <c r="H49" s="45"/>
      <c r="I49" s="45">
        <f>'dati Area Anziani'!H123</f>
        <v>43</v>
      </c>
      <c r="J49" s="81">
        <f>'dati Area Anziani'!I123</f>
        <v>1174.006511627907</v>
      </c>
      <c r="K49" s="45"/>
      <c r="L49" s="45"/>
      <c r="M49" s="45"/>
      <c r="N49" s="45">
        <f>'dati Area Anziani'!M123</f>
        <v>33</v>
      </c>
      <c r="O49" s="81">
        <f>'dati Area Anziani'!N123</f>
        <v>1506.7539393939394</v>
      </c>
      <c r="P49" s="87"/>
      <c r="Q49" s="87"/>
      <c r="R49" s="87"/>
      <c r="S49" s="45">
        <f>'dati Area Anziani'!R123</f>
        <v>43</v>
      </c>
      <c r="T49" s="81">
        <f>'dati Area Anziani'!S123</f>
        <v>1088.6</v>
      </c>
      <c r="U49" s="87"/>
      <c r="V49" s="87"/>
      <c r="W49" s="87"/>
      <c r="X49" s="45">
        <v>45</v>
      </c>
      <c r="Y49" s="81">
        <v>1091.95</v>
      </c>
      <c r="Z49" s="87"/>
      <c r="AA49" s="87"/>
      <c r="AB49" s="87"/>
      <c r="AC49" s="45">
        <v>33</v>
      </c>
      <c r="AD49" s="81">
        <v>974.62</v>
      </c>
      <c r="AE49" s="87"/>
      <c r="AF49" s="87"/>
      <c r="AG49" s="87"/>
      <c r="AH49" s="45">
        <v>44</v>
      </c>
      <c r="AI49" s="45"/>
      <c r="AJ49" s="45"/>
      <c r="AK49" s="45"/>
      <c r="AL49" s="81">
        <v>1036.43</v>
      </c>
      <c r="AM49" s="45"/>
      <c r="AN49" s="45"/>
      <c r="AO49" s="45"/>
    </row>
    <row r="50" spans="1:41" ht="18" customHeight="1">
      <c r="A50" s="159"/>
      <c r="B50" s="161"/>
      <c r="C50" s="6" t="s">
        <v>7</v>
      </c>
      <c r="D50" s="82">
        <f>'dati Area Anziani'!C134</f>
        <v>60</v>
      </c>
      <c r="E50" s="81">
        <f>'dati Area Anziani'!D134</f>
        <v>6309.745833333333</v>
      </c>
      <c r="F50" s="45"/>
      <c r="G50" s="45"/>
      <c r="H50" s="45"/>
      <c r="I50" s="45">
        <f>'dati Area Anziani'!H134</f>
        <v>64</v>
      </c>
      <c r="J50" s="81">
        <f>'dati Area Anziani'!I134</f>
        <v>3651.3459375</v>
      </c>
      <c r="K50" s="45"/>
      <c r="L50" s="45"/>
      <c r="M50" s="45"/>
      <c r="N50" s="45">
        <f>'dati Area Anziani'!M134</f>
        <v>60</v>
      </c>
      <c r="O50" s="81">
        <f>'dati Area Anziani'!N134</f>
        <v>3350.8143333333333</v>
      </c>
      <c r="P50" s="87"/>
      <c r="Q50" s="87"/>
      <c r="R50" s="87"/>
      <c r="S50" s="45">
        <f>'dati Area Anziani'!R134</f>
        <v>56</v>
      </c>
      <c r="T50" s="81">
        <f>'dati Area Anziani'!S134</f>
        <v>2889.391328571429</v>
      </c>
      <c r="U50" s="87"/>
      <c r="V50" s="87"/>
      <c r="W50" s="87"/>
      <c r="X50" s="45">
        <v>51</v>
      </c>
      <c r="Y50" s="81">
        <v>2655.23</v>
      </c>
      <c r="Z50" s="87"/>
      <c r="AA50" s="87"/>
      <c r="AB50" s="87"/>
      <c r="AC50" s="45">
        <v>50</v>
      </c>
      <c r="AD50" s="81">
        <v>4040.77</v>
      </c>
      <c r="AE50" s="87"/>
      <c r="AF50" s="87"/>
      <c r="AG50" s="87"/>
      <c r="AH50" s="45">
        <v>53</v>
      </c>
      <c r="AI50" s="45"/>
      <c r="AJ50" s="45"/>
      <c r="AK50" s="45"/>
      <c r="AL50" s="81">
        <v>3954.88</v>
      </c>
      <c r="AM50" s="45"/>
      <c r="AN50" s="45"/>
      <c r="AO50" s="45"/>
    </row>
    <row r="51" spans="1:41" ht="18" customHeight="1">
      <c r="A51" s="159"/>
      <c r="B51" s="162"/>
      <c r="C51" s="6" t="s">
        <v>8</v>
      </c>
      <c r="D51" s="82">
        <f>'dati Area Anziani'!C145</f>
        <v>33</v>
      </c>
      <c r="E51" s="81"/>
      <c r="F51" s="45"/>
      <c r="G51" s="45"/>
      <c r="H51" s="45"/>
      <c r="I51" s="45">
        <f>'dati Area Anziani'!H145</f>
        <v>21</v>
      </c>
      <c r="J51" s="45"/>
      <c r="K51" s="45"/>
      <c r="L51" s="45"/>
      <c r="M51" s="45"/>
      <c r="N51" s="45">
        <f>'dati Area Anziani'!M145</f>
        <v>21</v>
      </c>
      <c r="O51" s="87"/>
      <c r="P51" s="87"/>
      <c r="Q51" s="87"/>
      <c r="R51" s="87"/>
      <c r="S51" s="45">
        <f>'dati Area Anziani'!R145</f>
        <v>14</v>
      </c>
      <c r="T51" s="87"/>
      <c r="U51" s="87"/>
      <c r="V51" s="87"/>
      <c r="W51" s="87"/>
      <c r="X51" s="45">
        <v>30</v>
      </c>
      <c r="Y51" s="81"/>
      <c r="Z51" s="87"/>
      <c r="AA51" s="87"/>
      <c r="AB51" s="87"/>
      <c r="AC51" s="45">
        <v>27</v>
      </c>
      <c r="AD51" s="81"/>
      <c r="AE51" s="87"/>
      <c r="AF51" s="87"/>
      <c r="AG51" s="87"/>
      <c r="AH51" s="45">
        <v>21</v>
      </c>
      <c r="AI51" s="45"/>
      <c r="AJ51" s="45"/>
      <c r="AK51" s="45"/>
      <c r="AL51" s="81"/>
      <c r="AM51" s="45"/>
      <c r="AN51" s="45"/>
      <c r="AO51" s="45"/>
    </row>
    <row r="52" spans="1:41" ht="60.75" customHeight="1">
      <c r="A52" s="159" t="s">
        <v>36</v>
      </c>
      <c r="B52" s="144"/>
      <c r="C52" s="45"/>
      <c r="D52" s="7" t="s">
        <v>29</v>
      </c>
      <c r="E52" s="8" t="s">
        <v>30</v>
      </c>
      <c r="F52" s="8" t="s">
        <v>58</v>
      </c>
      <c r="G52" s="8" t="s">
        <v>32</v>
      </c>
      <c r="H52" s="8" t="s">
        <v>31</v>
      </c>
      <c r="I52" s="7" t="s">
        <v>29</v>
      </c>
      <c r="J52" s="8" t="s">
        <v>30</v>
      </c>
      <c r="K52" s="8" t="s">
        <v>58</v>
      </c>
      <c r="L52" s="8" t="s">
        <v>32</v>
      </c>
      <c r="M52" s="8" t="s">
        <v>31</v>
      </c>
      <c r="N52" s="7" t="s">
        <v>29</v>
      </c>
      <c r="O52" s="8" t="s">
        <v>30</v>
      </c>
      <c r="P52" s="8" t="s">
        <v>58</v>
      </c>
      <c r="Q52" s="8" t="s">
        <v>32</v>
      </c>
      <c r="R52" s="8" t="s">
        <v>31</v>
      </c>
      <c r="S52" s="7" t="s">
        <v>29</v>
      </c>
      <c r="T52" s="8" t="s">
        <v>30</v>
      </c>
      <c r="U52" s="8" t="s">
        <v>58</v>
      </c>
      <c r="V52" s="8" t="s">
        <v>32</v>
      </c>
      <c r="W52" s="8" t="s">
        <v>31</v>
      </c>
      <c r="X52" s="7" t="s">
        <v>29</v>
      </c>
      <c r="Y52" s="8" t="s">
        <v>30</v>
      </c>
      <c r="Z52" s="8" t="s">
        <v>58</v>
      </c>
      <c r="AA52" s="8" t="s">
        <v>32</v>
      </c>
      <c r="AB52" s="8" t="s">
        <v>31</v>
      </c>
      <c r="AC52" s="7" t="s">
        <v>29</v>
      </c>
      <c r="AD52" s="8" t="s">
        <v>30</v>
      </c>
      <c r="AE52" s="8" t="s">
        <v>58</v>
      </c>
      <c r="AF52" s="8" t="s">
        <v>32</v>
      </c>
      <c r="AG52" s="8" t="s">
        <v>31</v>
      </c>
      <c r="AH52" s="7" t="s">
        <v>29</v>
      </c>
      <c r="AI52" s="7" t="s">
        <v>95</v>
      </c>
      <c r="AJ52" s="146" t="s">
        <v>96</v>
      </c>
      <c r="AK52" s="146" t="s">
        <v>97</v>
      </c>
      <c r="AL52" s="8" t="s">
        <v>30</v>
      </c>
      <c r="AM52" s="8" t="s">
        <v>58</v>
      </c>
      <c r="AN52" s="8" t="s">
        <v>32</v>
      </c>
      <c r="AO52" s="8" t="s">
        <v>31</v>
      </c>
    </row>
    <row r="53" spans="1:41" s="35" customFormat="1" ht="21" customHeight="1">
      <c r="A53" s="159"/>
      <c r="B53" s="156" t="s">
        <v>36</v>
      </c>
      <c r="C53" s="6" t="s">
        <v>82</v>
      </c>
      <c r="D53" s="82"/>
      <c r="E53" s="14"/>
      <c r="F53" s="14"/>
      <c r="G53" s="14"/>
      <c r="H53" s="14"/>
      <c r="I53" s="45"/>
      <c r="J53" s="14"/>
      <c r="K53" s="14"/>
      <c r="L53" s="14"/>
      <c r="M53" s="14"/>
      <c r="N53" s="78"/>
      <c r="O53" s="91"/>
      <c r="P53" s="91"/>
      <c r="Q53" s="91"/>
      <c r="R53" s="91"/>
      <c r="S53" s="84"/>
      <c r="T53" s="91"/>
      <c r="U53" s="91"/>
      <c r="V53" s="91"/>
      <c r="W53" s="91"/>
      <c r="X53" s="78">
        <v>362</v>
      </c>
      <c r="Y53" s="91"/>
      <c r="Z53" s="91"/>
      <c r="AA53" s="91"/>
      <c r="AB53" s="91"/>
      <c r="AC53" s="78">
        <v>629</v>
      </c>
      <c r="AD53" s="91"/>
      <c r="AE53" s="91"/>
      <c r="AF53" s="91"/>
      <c r="AG53" s="91"/>
      <c r="AH53" s="78">
        <v>747</v>
      </c>
      <c r="AI53" s="78"/>
      <c r="AJ53" s="78"/>
      <c r="AK53" s="78"/>
      <c r="AL53" s="78"/>
      <c r="AM53" s="78"/>
      <c r="AN53" s="78"/>
      <c r="AO53" s="78"/>
    </row>
    <row r="54" spans="1:41" ht="18" customHeight="1">
      <c r="A54" s="159"/>
      <c r="B54" s="157"/>
      <c r="C54" s="6" t="s">
        <v>21</v>
      </c>
      <c r="D54" s="45">
        <f>'dati Area Disabilità'!C24</f>
        <v>51</v>
      </c>
      <c r="E54" s="81">
        <f>'dati Area Disabilità'!D24</f>
        <v>5132.458039215686</v>
      </c>
      <c r="F54" s="82">
        <v>180</v>
      </c>
      <c r="G54" s="45"/>
      <c r="H54" s="45"/>
      <c r="I54" s="45">
        <f>'dati Area Disabilità'!H24</f>
        <v>61</v>
      </c>
      <c r="J54" s="81">
        <f>'dati Area Disabilità'!I24</f>
        <v>977.9573770491803</v>
      </c>
      <c r="K54" s="82">
        <f>'dati Area Disabilità'!J24</f>
        <v>177.88524590163934</v>
      </c>
      <c r="L54" s="45"/>
      <c r="M54" s="45"/>
      <c r="N54" s="45">
        <f>'dati Area Disabilità'!M24</f>
        <v>81</v>
      </c>
      <c r="O54" s="81">
        <f>'dati Area Disabilità'!N24</f>
        <v>2888.3253086419754</v>
      </c>
      <c r="P54" s="94">
        <f>'dati Area Disabilità'!O24</f>
        <v>128.79320987654322</v>
      </c>
      <c r="Q54" s="87"/>
      <c r="R54" s="87"/>
      <c r="S54" s="45">
        <f>'dati Area Disabilità'!R24</f>
        <v>84</v>
      </c>
      <c r="T54" s="81">
        <f>'dati Area Disabilità'!S24</f>
        <v>2594.452753968254</v>
      </c>
      <c r="U54" s="82">
        <f>'dati Area Disabilità'!T24</f>
        <v>112.76721088435373</v>
      </c>
      <c r="V54" s="87"/>
      <c r="W54" s="87"/>
      <c r="X54" s="45">
        <v>95</v>
      </c>
      <c r="Y54" s="81">
        <v>1970.7391828070174</v>
      </c>
      <c r="Z54" s="92">
        <v>82.07</v>
      </c>
      <c r="AA54" s="87"/>
      <c r="AB54" s="87"/>
      <c r="AC54" s="45">
        <v>119</v>
      </c>
      <c r="AD54" s="81">
        <v>2291.69</v>
      </c>
      <c r="AE54" s="92">
        <v>92</v>
      </c>
      <c r="AF54" s="87"/>
      <c r="AG54" s="87"/>
      <c r="AH54" s="78">
        <v>145</v>
      </c>
      <c r="AI54" s="78"/>
      <c r="AJ54" s="78"/>
      <c r="AK54" s="78"/>
      <c r="AL54" s="83">
        <v>1880.7669655172415</v>
      </c>
      <c r="AM54" s="139">
        <v>75.55324137931034</v>
      </c>
      <c r="AN54" s="45"/>
      <c r="AO54" s="45"/>
    </row>
    <row r="55" spans="1:41" ht="18" customHeight="1">
      <c r="A55" s="159"/>
      <c r="B55" s="157"/>
      <c r="C55" s="6" t="s">
        <v>22</v>
      </c>
      <c r="D55" s="45">
        <f>'dati Area Disabilità'!C35</f>
        <v>9</v>
      </c>
      <c r="E55" s="81">
        <f>'dati Area Disabilità'!D35</f>
        <v>6703.268888888889</v>
      </c>
      <c r="F55" s="82">
        <v>307</v>
      </c>
      <c r="G55" s="45"/>
      <c r="H55" s="45"/>
      <c r="I55" s="45">
        <f>'dati Area Disabilità'!H35</f>
        <v>7</v>
      </c>
      <c r="J55" s="81">
        <f>'dati Area Disabilità'!I35</f>
        <v>9524.4</v>
      </c>
      <c r="K55" s="82">
        <f>'dati Area Disabilità'!J35</f>
        <v>454.14285714285717</v>
      </c>
      <c r="L55" s="45"/>
      <c r="M55" s="45"/>
      <c r="N55" s="45">
        <f>'dati Area Disabilità'!M35</f>
        <v>9</v>
      </c>
      <c r="O55" s="81">
        <f>'dati Area Disabilità'!N35</f>
        <v>8363.980000000001</v>
      </c>
      <c r="P55" s="94">
        <f>'dati Area Disabilità'!O35</f>
        <v>365.48777777777775</v>
      </c>
      <c r="Q55" s="87"/>
      <c r="R55" s="87"/>
      <c r="S55" s="45">
        <f>'dati Area Disabilità'!R35</f>
        <v>9</v>
      </c>
      <c r="T55" s="81">
        <f>'dati Area Disabilità'!S35</f>
        <v>6423.94</v>
      </c>
      <c r="U55" s="82">
        <f>'dati Area Disabilità'!T35</f>
        <v>266.39</v>
      </c>
      <c r="V55" s="87"/>
      <c r="W55" s="87"/>
      <c r="X55" s="45">
        <v>7</v>
      </c>
      <c r="Y55" s="81">
        <v>6720.29</v>
      </c>
      <c r="Z55" s="92">
        <v>306.55</v>
      </c>
      <c r="AA55" s="87"/>
      <c r="AB55" s="87"/>
      <c r="AC55" s="45">
        <v>7</v>
      </c>
      <c r="AD55" s="81">
        <v>6564.79</v>
      </c>
      <c r="AE55" s="92">
        <v>358</v>
      </c>
      <c r="AF55" s="87"/>
      <c r="AG55" s="87"/>
      <c r="AH55" s="78">
        <v>6</v>
      </c>
      <c r="AI55" s="78"/>
      <c r="AJ55" s="78"/>
      <c r="AK55" s="78"/>
      <c r="AL55" s="83">
        <v>7658.921666666666</v>
      </c>
      <c r="AM55" s="139">
        <v>417.8333333333333</v>
      </c>
      <c r="AN55" s="45"/>
      <c r="AO55" s="45"/>
    </row>
    <row r="56" spans="1:41" ht="18" customHeight="1">
      <c r="A56" s="159"/>
      <c r="B56" s="157"/>
      <c r="C56" s="6" t="s">
        <v>73</v>
      </c>
      <c r="D56" s="45">
        <f>'dati Area Disabilità'!C46</f>
        <v>30</v>
      </c>
      <c r="E56" s="81">
        <f>'dati Area Disabilità'!D46</f>
        <v>1441.5053333333335</v>
      </c>
      <c r="F56" s="45">
        <v>35</v>
      </c>
      <c r="G56" s="45"/>
      <c r="H56" s="45"/>
      <c r="I56" s="45">
        <f>'dati Area Disabilità'!H46</f>
        <v>35</v>
      </c>
      <c r="J56" s="81">
        <f>'dati Area Disabilità'!I46</f>
        <v>1245.8722857142857</v>
      </c>
      <c r="K56" s="82">
        <f>'dati Area Disabilità'!J46</f>
        <v>8.722222222222221</v>
      </c>
      <c r="L56" s="45"/>
      <c r="M56" s="45"/>
      <c r="N56" s="45">
        <f>'dati Area Disabilità'!M46</f>
        <v>33</v>
      </c>
      <c r="O56" s="81">
        <f>'dati Area Disabilità'!N46</f>
        <v>1589.3036363636363</v>
      </c>
      <c r="P56" s="94">
        <f>'dati Area Disabilità'!O46</f>
        <v>38.03030303030303</v>
      </c>
      <c r="Q56" s="87"/>
      <c r="R56" s="87"/>
      <c r="S56" s="45">
        <f>'dati Area Disabilità'!R46</f>
        <v>26</v>
      </c>
      <c r="T56" s="81">
        <f>'dati Area Disabilità'!S46</f>
        <v>2763.83</v>
      </c>
      <c r="U56" s="82">
        <f>'dati Area Disabilità'!T46</f>
        <v>73.29</v>
      </c>
      <c r="V56" s="87"/>
      <c r="W56" s="87"/>
      <c r="X56" s="45">
        <v>30</v>
      </c>
      <c r="Y56" s="81">
        <v>1893.66</v>
      </c>
      <c r="Z56" s="92">
        <v>27.1</v>
      </c>
      <c r="AA56" s="87"/>
      <c r="AB56" s="87"/>
      <c r="AC56" s="45">
        <v>35</v>
      </c>
      <c r="AD56" s="81">
        <v>1583.19</v>
      </c>
      <c r="AE56" s="92">
        <v>33.71</v>
      </c>
      <c r="AF56" s="87"/>
      <c r="AG56" s="87"/>
      <c r="AH56" s="78">
        <v>32</v>
      </c>
      <c r="AI56" s="78"/>
      <c r="AJ56" s="78"/>
      <c r="AK56" s="78"/>
      <c r="AL56" s="83">
        <v>822.66</v>
      </c>
      <c r="AM56" s="139">
        <v>36.875</v>
      </c>
      <c r="AN56" s="45"/>
      <c r="AO56" s="45"/>
    </row>
    <row r="57" spans="1:41" ht="18" customHeight="1">
      <c r="A57" s="159"/>
      <c r="B57" s="157"/>
      <c r="C57" s="6" t="s">
        <v>4</v>
      </c>
      <c r="D57" s="45">
        <f>'dati Area Disabilità'!C57</f>
        <v>63</v>
      </c>
      <c r="E57" s="81">
        <f>'dati Area Disabilità'!D57</f>
        <v>6091.587301587301</v>
      </c>
      <c r="F57" s="45"/>
      <c r="G57" s="45"/>
      <c r="H57" s="45"/>
      <c r="I57" s="45">
        <f>'dati Area Disabilità'!H57</f>
        <v>62</v>
      </c>
      <c r="J57" s="81">
        <f>'dati Area Disabilità'!I57</f>
        <v>5733.596774193548</v>
      </c>
      <c r="K57" s="45"/>
      <c r="L57" s="45"/>
      <c r="M57" s="45"/>
      <c r="N57" s="45">
        <f>'dati Area Disabilità'!M57</f>
        <v>64</v>
      </c>
      <c r="O57" s="81">
        <f>'dati Area Disabilità'!N57</f>
        <v>5530.4</v>
      </c>
      <c r="P57" s="87"/>
      <c r="Q57" s="87"/>
      <c r="R57" s="87"/>
      <c r="S57" s="45">
        <f>'dati Area Disabilità'!R57</f>
        <v>66</v>
      </c>
      <c r="T57" s="81">
        <f>'dati Area Disabilità'!S57</f>
        <v>5470.93</v>
      </c>
      <c r="U57" s="45"/>
      <c r="V57" s="87"/>
      <c r="W57" s="87"/>
      <c r="X57" s="45">
        <v>66</v>
      </c>
      <c r="Y57" s="81">
        <v>5927.100545454547</v>
      </c>
      <c r="Z57" s="92"/>
      <c r="AA57" s="87"/>
      <c r="AB57" s="87"/>
      <c r="AC57" s="45">
        <v>69</v>
      </c>
      <c r="AD57" s="81">
        <v>5936.56</v>
      </c>
      <c r="AE57" s="92"/>
      <c r="AF57" s="87"/>
      <c r="AG57" s="87"/>
      <c r="AH57" s="78">
        <v>65</v>
      </c>
      <c r="AI57" s="78"/>
      <c r="AJ57" s="78"/>
      <c r="AK57" s="78"/>
      <c r="AL57" s="83">
        <v>6301.891384615385</v>
      </c>
      <c r="AM57" s="139"/>
      <c r="AN57" s="45"/>
      <c r="AO57" s="45"/>
    </row>
    <row r="58" spans="1:41" ht="18" customHeight="1">
      <c r="A58" s="159"/>
      <c r="B58" s="157"/>
      <c r="C58" s="6" t="s">
        <v>55</v>
      </c>
      <c r="D58" s="45">
        <f>'dati Area Disabilità'!C68</f>
        <v>50</v>
      </c>
      <c r="E58" s="81">
        <f>'dati Area Disabilità'!D68</f>
        <v>5062.5504</v>
      </c>
      <c r="F58" s="45"/>
      <c r="G58" s="45"/>
      <c r="H58" s="45"/>
      <c r="I58" s="45">
        <f>'dati Area Disabilità'!H68</f>
        <v>53</v>
      </c>
      <c r="J58" s="81">
        <f>'dati Area Disabilità'!I68</f>
        <v>4768.957358490566</v>
      </c>
      <c r="K58" s="45"/>
      <c r="L58" s="45"/>
      <c r="M58" s="45"/>
      <c r="N58" s="45">
        <f>'dati Area Disabilità'!M68</f>
        <v>57</v>
      </c>
      <c r="O58" s="81">
        <f>'dati Area Disabilità'!N68</f>
        <v>4919.638421052632</v>
      </c>
      <c r="P58" s="87"/>
      <c r="Q58" s="87"/>
      <c r="R58" s="87"/>
      <c r="S58" s="45">
        <f>'dati Area Disabilità'!R68</f>
        <v>66</v>
      </c>
      <c r="T58" s="81">
        <f>'dati Area Disabilità'!S68</f>
        <v>5115.99158939394</v>
      </c>
      <c r="U58" s="45"/>
      <c r="V58" s="87"/>
      <c r="W58" s="87"/>
      <c r="X58" s="45">
        <v>66</v>
      </c>
      <c r="Y58" s="81">
        <v>5394.309766666666</v>
      </c>
      <c r="Z58" s="92"/>
      <c r="AA58" s="87"/>
      <c r="AB58" s="87"/>
      <c r="AC58" s="45">
        <v>64</v>
      </c>
      <c r="AD58" s="81">
        <v>5959.48</v>
      </c>
      <c r="AE58" s="92"/>
      <c r="AF58" s="87"/>
      <c r="AG58" s="87"/>
      <c r="AH58" s="78">
        <v>69</v>
      </c>
      <c r="AI58" s="78"/>
      <c r="AJ58" s="78"/>
      <c r="AK58" s="78"/>
      <c r="AL58" s="83">
        <v>5527.63304347826</v>
      </c>
      <c r="AM58" s="139"/>
      <c r="AN58" s="45"/>
      <c r="AO58" s="45"/>
    </row>
    <row r="59" spans="1:41" ht="18" customHeight="1">
      <c r="A59" s="159"/>
      <c r="B59" s="157"/>
      <c r="C59" s="6" t="s">
        <v>23</v>
      </c>
      <c r="D59" s="45">
        <f>'dati Area Disabilità'!C79</f>
        <v>26</v>
      </c>
      <c r="E59" s="81">
        <f>'dati Area Disabilità'!D79</f>
        <v>10352.166538461539</v>
      </c>
      <c r="F59" s="45"/>
      <c r="G59" s="45"/>
      <c r="H59" s="45"/>
      <c r="I59" s="45">
        <f>'dati Area Disabilità'!H79</f>
        <v>29</v>
      </c>
      <c r="J59" s="81">
        <f>'dati Area Disabilità'!I79</f>
        <v>10143.851379310345</v>
      </c>
      <c r="K59" s="45"/>
      <c r="L59" s="45"/>
      <c r="M59" s="45"/>
      <c r="N59" s="45">
        <f>'dati Area Disabilità'!M79</f>
        <v>32</v>
      </c>
      <c r="O59" s="81">
        <f>'dati Area Disabilità'!N79</f>
        <v>9677.56875</v>
      </c>
      <c r="P59" s="87"/>
      <c r="Q59" s="87"/>
      <c r="R59" s="87"/>
      <c r="S59" s="45">
        <f>'dati Area Disabilità'!R79</f>
        <v>28</v>
      </c>
      <c r="T59" s="81">
        <f>'dati Area Disabilità'!S79</f>
        <v>10431.578857142857</v>
      </c>
      <c r="U59" s="45"/>
      <c r="V59" s="87"/>
      <c r="W59" s="87"/>
      <c r="X59" s="45">
        <v>30</v>
      </c>
      <c r="Y59" s="81">
        <v>10520.673573333333</v>
      </c>
      <c r="Z59" s="92"/>
      <c r="AA59" s="87"/>
      <c r="AB59" s="87"/>
      <c r="AC59" s="45">
        <v>32</v>
      </c>
      <c r="AD59" s="81">
        <v>9819.67</v>
      </c>
      <c r="AE59" s="92"/>
      <c r="AF59" s="87"/>
      <c r="AG59" s="87"/>
      <c r="AH59" s="78">
        <v>29</v>
      </c>
      <c r="AI59" s="78"/>
      <c r="AJ59" s="78"/>
      <c r="AK59" s="78"/>
      <c r="AL59" s="83">
        <v>10835.492758620689</v>
      </c>
      <c r="AM59" s="139"/>
      <c r="AN59" s="45"/>
      <c r="AO59" s="45"/>
    </row>
    <row r="60" spans="1:41" ht="18" customHeight="1">
      <c r="A60" s="159"/>
      <c r="B60" s="157"/>
      <c r="C60" s="6" t="s">
        <v>88</v>
      </c>
      <c r="D60" s="45">
        <f>'dati Area Disabilità'!C90</f>
        <v>47</v>
      </c>
      <c r="E60" s="81">
        <f>'dati Area Disabilità'!D90</f>
        <v>1625.4893617021276</v>
      </c>
      <c r="F60" s="82"/>
      <c r="G60" s="45"/>
      <c r="H60" s="45"/>
      <c r="I60" s="45">
        <f>'dati Area Disabilità'!H90</f>
        <v>56</v>
      </c>
      <c r="J60" s="81">
        <f>'dati Area Disabilità'!I90</f>
        <v>1267.2142857142858</v>
      </c>
      <c r="K60" s="82"/>
      <c r="L60" s="45"/>
      <c r="M60" s="45"/>
      <c r="N60" s="45">
        <f>'dati Area Disabilità'!M90</f>
        <v>63</v>
      </c>
      <c r="O60" s="81">
        <f>'dati Area Disabilità'!N90</f>
        <v>1242.9238095238095</v>
      </c>
      <c r="P60" s="94">
        <f>'dati Area Disabilità'!O90</f>
        <v>135.53968253968253</v>
      </c>
      <c r="Q60" s="87"/>
      <c r="R60" s="87"/>
      <c r="S60" s="45">
        <f>'dati Area Disabilità'!R90</f>
        <v>55</v>
      </c>
      <c r="T60" s="81">
        <f>'dati Area Disabilità'!S90</f>
        <v>895.370658008658</v>
      </c>
      <c r="U60" s="82">
        <f>'dati Area Disabilità'!T90</f>
        <v>104.47974891774892</v>
      </c>
      <c r="V60" s="87"/>
      <c r="W60" s="87"/>
      <c r="X60" s="45"/>
      <c r="Y60" s="81"/>
      <c r="Z60" s="92"/>
      <c r="AA60" s="87"/>
      <c r="AB60" s="87"/>
      <c r="AC60" s="45"/>
      <c r="AD60" s="81"/>
      <c r="AE60" s="92"/>
      <c r="AF60" s="87"/>
      <c r="AG60" s="87"/>
      <c r="AH60" s="78"/>
      <c r="AI60" s="78"/>
      <c r="AJ60" s="78"/>
      <c r="AK60" s="78"/>
      <c r="AL60" s="83"/>
      <c r="AM60" s="139"/>
      <c r="AN60" s="45"/>
      <c r="AO60" s="45"/>
    </row>
    <row r="61" spans="1:41" ht="18" customHeight="1">
      <c r="A61" s="159"/>
      <c r="B61" s="157"/>
      <c r="C61" s="6" t="s">
        <v>84</v>
      </c>
      <c r="D61" s="45"/>
      <c r="E61" s="81"/>
      <c r="F61" s="82"/>
      <c r="G61" s="45"/>
      <c r="H61" s="45"/>
      <c r="I61" s="45"/>
      <c r="J61" s="81"/>
      <c r="K61" s="82"/>
      <c r="L61" s="45"/>
      <c r="M61" s="45"/>
      <c r="N61" s="45"/>
      <c r="O61" s="81"/>
      <c r="P61" s="94"/>
      <c r="Q61" s="87"/>
      <c r="R61" s="87"/>
      <c r="S61" s="45">
        <v>12</v>
      </c>
      <c r="T61" s="81">
        <v>2390.25</v>
      </c>
      <c r="U61" s="82">
        <v>205</v>
      </c>
      <c r="V61" s="87"/>
      <c r="W61" s="87"/>
      <c r="X61" s="45">
        <v>43</v>
      </c>
      <c r="Y61" s="81">
        <v>870.2104451126899</v>
      </c>
      <c r="Z61" s="92">
        <v>135.511627906977</v>
      </c>
      <c r="AA61" s="87"/>
      <c r="AB61" s="87"/>
      <c r="AC61" s="45">
        <v>43</v>
      </c>
      <c r="AD61" s="81">
        <v>1565.72</v>
      </c>
      <c r="AE61" s="92">
        <v>174</v>
      </c>
      <c r="AF61" s="87"/>
      <c r="AG61" s="87"/>
      <c r="AH61" s="78">
        <v>41</v>
      </c>
      <c r="AI61" s="78"/>
      <c r="AJ61" s="78"/>
      <c r="AK61" s="78"/>
      <c r="AL61" s="83">
        <v>1565.7234210526315</v>
      </c>
      <c r="AM61" s="139">
        <v>182.70731707317074</v>
      </c>
      <c r="AN61" s="45"/>
      <c r="AO61" s="45"/>
    </row>
    <row r="62" spans="1:41" ht="18" customHeight="1">
      <c r="A62" s="159"/>
      <c r="B62" s="157"/>
      <c r="C62" s="6" t="s">
        <v>26</v>
      </c>
      <c r="D62" s="45">
        <f>'dati Area Disabilità'!C112</f>
        <v>33</v>
      </c>
      <c r="E62" s="81">
        <f>'dati Area Disabilità'!D112</f>
        <v>962.1212121212121</v>
      </c>
      <c r="F62" s="45"/>
      <c r="G62" s="45"/>
      <c r="H62" s="45"/>
      <c r="I62" s="45">
        <f>'dati Area Disabilità'!H112</f>
        <v>39</v>
      </c>
      <c r="J62" s="81">
        <f>'dati Area Disabilità'!I112</f>
        <v>979</v>
      </c>
      <c r="K62" s="45"/>
      <c r="L62" s="45"/>
      <c r="M62" s="45"/>
      <c r="N62" s="45">
        <f>'dati Area Disabilità'!M112</f>
        <v>36</v>
      </c>
      <c r="O62" s="81">
        <f>'dati Area Disabilità'!N112</f>
        <v>789.4133333333334</v>
      </c>
      <c r="P62" s="87"/>
      <c r="Q62" s="87"/>
      <c r="R62" s="87"/>
      <c r="S62" s="45">
        <f>'dati Area Disabilità'!R112</f>
        <v>33</v>
      </c>
      <c r="T62" s="81">
        <f>'dati Area Disabilità'!S112</f>
        <v>898.9069264069265</v>
      </c>
      <c r="U62" s="45"/>
      <c r="V62" s="87"/>
      <c r="W62" s="87"/>
      <c r="X62" s="45">
        <v>28</v>
      </c>
      <c r="Y62" s="81">
        <v>802.3214285714286</v>
      </c>
      <c r="Z62" s="92"/>
      <c r="AA62" s="87"/>
      <c r="AB62" s="87"/>
      <c r="AC62" s="45">
        <v>19</v>
      </c>
      <c r="AD62" s="81">
        <v>960</v>
      </c>
      <c r="AE62" s="92"/>
      <c r="AF62" s="87"/>
      <c r="AG62" s="87"/>
      <c r="AH62" s="78">
        <v>27</v>
      </c>
      <c r="AI62" s="78"/>
      <c r="AJ62" s="78"/>
      <c r="AK62" s="78"/>
      <c r="AL62" s="83">
        <v>675.9925925925926</v>
      </c>
      <c r="AM62" s="139"/>
      <c r="AN62" s="45"/>
      <c r="AO62" s="45"/>
    </row>
    <row r="63" spans="1:41" ht="18" customHeight="1">
      <c r="A63" s="159"/>
      <c r="B63" s="157"/>
      <c r="C63" s="6" t="s">
        <v>56</v>
      </c>
      <c r="D63" s="45">
        <f>'dati Area Disabilità'!C123</f>
        <v>13</v>
      </c>
      <c r="E63" s="81">
        <f>'dati Area Disabilità'!D123</f>
        <v>1244.1492307692308</v>
      </c>
      <c r="F63" s="45"/>
      <c r="G63" s="45"/>
      <c r="H63" s="45"/>
      <c r="I63" s="45">
        <f>'dati Area Disabilità'!H123</f>
        <v>13</v>
      </c>
      <c r="J63" s="81">
        <f>'dati Area Disabilità'!I123</f>
        <v>1337.4769230769232</v>
      </c>
      <c r="K63" s="45"/>
      <c r="L63" s="45"/>
      <c r="M63" s="45"/>
      <c r="N63" s="45">
        <f>'dati Area Disabilità'!M123</f>
        <v>17</v>
      </c>
      <c r="O63" s="81">
        <f>'dati Area Disabilità'!N123</f>
        <v>637.0494117647058</v>
      </c>
      <c r="P63" s="87"/>
      <c r="Q63" s="87"/>
      <c r="R63" s="87"/>
      <c r="S63" s="45">
        <v>9</v>
      </c>
      <c r="T63" s="81">
        <f>'dati Area Disabilità'!S123</f>
        <v>1415.4077777777777</v>
      </c>
      <c r="U63" s="45"/>
      <c r="V63" s="87"/>
      <c r="W63" s="87"/>
      <c r="X63" s="45">
        <v>10</v>
      </c>
      <c r="Y63" s="81">
        <v>986.193</v>
      </c>
      <c r="Z63" s="92"/>
      <c r="AA63" s="87"/>
      <c r="AB63" s="87"/>
      <c r="AC63" s="45">
        <v>7</v>
      </c>
      <c r="AD63" s="81">
        <v>352</v>
      </c>
      <c r="AE63" s="92"/>
      <c r="AF63" s="87"/>
      <c r="AG63" s="87"/>
      <c r="AH63" s="78">
        <v>5</v>
      </c>
      <c r="AI63" s="78"/>
      <c r="AJ63" s="78"/>
      <c r="AK63" s="78"/>
      <c r="AL63" s="83">
        <v>492.918</v>
      </c>
      <c r="AM63" s="139"/>
      <c r="AN63" s="45"/>
      <c r="AO63" s="45"/>
    </row>
    <row r="64" spans="1:41" ht="18" customHeight="1" thickBot="1">
      <c r="A64" s="160"/>
      <c r="B64" s="157"/>
      <c r="C64" s="6" t="s">
        <v>25</v>
      </c>
      <c r="D64" s="45">
        <f>'dati Area Disabilità'!C134</f>
        <v>4</v>
      </c>
      <c r="E64" s="81">
        <f>'dati Area Disabilità'!D134</f>
        <v>2734.275</v>
      </c>
      <c r="F64" s="45"/>
      <c r="G64" s="45"/>
      <c r="H64" s="45"/>
      <c r="I64" s="45">
        <f>'dati Area Disabilità'!H134</f>
        <v>9</v>
      </c>
      <c r="J64" s="81">
        <f>'dati Area Disabilità'!I134</f>
        <v>1221.868888888889</v>
      </c>
      <c r="K64" s="45"/>
      <c r="L64" s="45"/>
      <c r="M64" s="45"/>
      <c r="N64" s="45">
        <f>'dati Area Disabilità'!M134</f>
        <v>3</v>
      </c>
      <c r="O64" s="81">
        <f>'dati Area Disabilità'!N134</f>
        <v>1486.3966666666665</v>
      </c>
      <c r="P64" s="87"/>
      <c r="Q64" s="87"/>
      <c r="R64" s="87"/>
      <c r="S64" s="45">
        <v>7</v>
      </c>
      <c r="T64" s="81">
        <f>'dati Area Disabilità'!S134</f>
        <v>645</v>
      </c>
      <c r="U64" s="45"/>
      <c r="V64" s="87"/>
      <c r="W64" s="87"/>
      <c r="X64" s="45">
        <v>16</v>
      </c>
      <c r="Y64" s="81">
        <v>1074.75</v>
      </c>
      <c r="Z64" s="92"/>
      <c r="AA64" s="87"/>
      <c r="AB64" s="87"/>
      <c r="AC64" s="45">
        <v>17</v>
      </c>
      <c r="AD64" s="81">
        <v>2378</v>
      </c>
      <c r="AE64" s="92"/>
      <c r="AF64" s="87"/>
      <c r="AG64" s="87"/>
      <c r="AH64" s="78">
        <v>13</v>
      </c>
      <c r="AI64" s="78"/>
      <c r="AJ64" s="78"/>
      <c r="AK64" s="78"/>
      <c r="AL64" s="83">
        <v>3109.732307692308</v>
      </c>
      <c r="AM64" s="139"/>
      <c r="AN64" s="45"/>
      <c r="AO64" s="45"/>
    </row>
    <row r="66" spans="3:4" ht="15.75">
      <c r="C66" s="70" t="s">
        <v>71</v>
      </c>
      <c r="D66" s="1" t="s">
        <v>74</v>
      </c>
    </row>
    <row r="67" spans="3:4" ht="15.75">
      <c r="C67" s="69" t="s">
        <v>71</v>
      </c>
      <c r="D67" s="1" t="s">
        <v>75</v>
      </c>
    </row>
    <row r="68" ht="14.25" customHeight="1"/>
  </sheetData>
  <mergeCells count="15">
    <mergeCell ref="B39:B51"/>
    <mergeCell ref="AH1:AO1"/>
    <mergeCell ref="AC1:AG1"/>
    <mergeCell ref="X1:AB1"/>
    <mergeCell ref="S1:W1"/>
    <mergeCell ref="B53:B64"/>
    <mergeCell ref="N1:R1"/>
    <mergeCell ref="A52:A64"/>
    <mergeCell ref="D1:H1"/>
    <mergeCell ref="I1:M1"/>
    <mergeCell ref="A28:A37"/>
    <mergeCell ref="A2:A27"/>
    <mergeCell ref="A38:A51"/>
    <mergeCell ref="B3:B27"/>
    <mergeCell ref="B29:B3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8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289"/>
  <sheetViews>
    <sheetView zoomScale="80" zoomScaleNormal="80" workbookViewId="0" topLeftCell="A1">
      <pane xSplit="2" ySplit="2" topLeftCell="W25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G276" sqref="AG276"/>
    </sheetView>
  </sheetViews>
  <sheetFormatPr defaultColWidth="9.140625" defaultRowHeight="12.75"/>
  <cols>
    <col min="1" max="1" width="15.7109375" style="0" customWidth="1"/>
    <col min="2" max="2" width="32.421875" style="0" customWidth="1"/>
    <col min="3" max="3" width="18.7109375" style="1" customWidth="1"/>
    <col min="4" max="4" width="17.8515625" style="1" customWidth="1"/>
    <col min="5" max="5" width="16.7109375" style="52" customWidth="1"/>
    <col min="6" max="8" width="16.7109375" style="0" customWidth="1"/>
    <col min="9" max="9" width="17.8515625" style="1" customWidth="1"/>
    <col min="10" max="10" width="16.7109375" style="24" customWidth="1"/>
    <col min="11" max="12" width="16.7109375" style="0" customWidth="1"/>
    <col min="13" max="13" width="16.28125" style="1" customWidth="1"/>
    <col min="14" max="14" width="18.7109375" style="0" customWidth="1"/>
    <col min="15" max="15" width="18.28125" style="0" customWidth="1"/>
    <col min="16" max="16" width="20.421875" style="0" customWidth="1"/>
    <col min="17" max="17" width="17.28125" style="0" customWidth="1"/>
    <col min="18" max="18" width="16.28125" style="1" customWidth="1"/>
    <col min="19" max="19" width="18.7109375" style="0" customWidth="1"/>
    <col min="20" max="20" width="18.28125" style="0" customWidth="1"/>
    <col min="21" max="21" width="20.421875" style="0" customWidth="1"/>
    <col min="22" max="22" width="17.28125" style="0" customWidth="1"/>
    <col min="23" max="23" width="16.28125" style="1" customWidth="1"/>
    <col min="24" max="24" width="18.7109375" style="0" customWidth="1"/>
    <col min="25" max="25" width="18.28125" style="0" customWidth="1"/>
    <col min="26" max="26" width="20.421875" style="0" customWidth="1"/>
    <col min="27" max="27" width="17.28125" style="0" customWidth="1"/>
    <col min="28" max="28" width="16.28125" style="1" customWidth="1"/>
    <col min="29" max="29" width="18.7109375" style="0" customWidth="1"/>
    <col min="30" max="30" width="18.28125" style="0" customWidth="1"/>
    <col min="31" max="31" width="20.421875" style="0" customWidth="1"/>
    <col min="32" max="32" width="17.28125" style="0" customWidth="1"/>
    <col min="33" max="33" width="13.7109375" style="0" customWidth="1"/>
    <col min="34" max="34" width="14.57421875" style="0" customWidth="1"/>
    <col min="35" max="35" width="16.57421875" style="0" bestFit="1" customWidth="1"/>
    <col min="36" max="36" width="13.8515625" style="0" bestFit="1" customWidth="1"/>
    <col min="37" max="37" width="15.28125" style="0" bestFit="1" customWidth="1"/>
    <col min="38" max="38" width="12.7109375" style="0" bestFit="1" customWidth="1"/>
  </cols>
  <sheetData>
    <row r="1" ht="12.75"/>
    <row r="2" spans="1:38" ht="30" customHeight="1">
      <c r="A2" s="163"/>
      <c r="B2" s="142" t="s">
        <v>98</v>
      </c>
      <c r="C2" s="158" t="s">
        <v>9</v>
      </c>
      <c r="D2" s="158"/>
      <c r="E2" s="158"/>
      <c r="F2" s="158"/>
      <c r="G2" s="158"/>
      <c r="H2" s="158" t="s">
        <v>20</v>
      </c>
      <c r="I2" s="158"/>
      <c r="J2" s="158"/>
      <c r="K2" s="158"/>
      <c r="L2" s="158"/>
      <c r="M2" s="158" t="s">
        <v>76</v>
      </c>
      <c r="N2" s="158"/>
      <c r="O2" s="158"/>
      <c r="P2" s="158"/>
      <c r="Q2" s="158"/>
      <c r="R2" s="158" t="s">
        <v>83</v>
      </c>
      <c r="S2" s="158"/>
      <c r="T2" s="158"/>
      <c r="U2" s="158"/>
      <c r="V2" s="158"/>
      <c r="W2" s="158" t="s">
        <v>89</v>
      </c>
      <c r="X2" s="158"/>
      <c r="Y2" s="158"/>
      <c r="Z2" s="158"/>
      <c r="AA2" s="158"/>
      <c r="AB2" s="158" t="s">
        <v>92</v>
      </c>
      <c r="AC2" s="158"/>
      <c r="AD2" s="158"/>
      <c r="AE2" s="158"/>
      <c r="AF2" s="158"/>
      <c r="AG2" s="158" t="s">
        <v>93</v>
      </c>
      <c r="AH2" s="158"/>
      <c r="AI2" s="158"/>
      <c r="AJ2" s="158"/>
      <c r="AK2" s="158"/>
      <c r="AL2" s="158"/>
    </row>
    <row r="3" spans="1:38" ht="61.5" customHeight="1">
      <c r="A3" s="163"/>
      <c r="B3" s="126"/>
      <c r="C3" s="7" t="s">
        <v>29</v>
      </c>
      <c r="D3" s="8" t="s">
        <v>30</v>
      </c>
      <c r="E3" s="46" t="s">
        <v>58</v>
      </c>
      <c r="F3" s="8" t="s">
        <v>32</v>
      </c>
      <c r="G3" s="8" t="s">
        <v>31</v>
      </c>
      <c r="H3" s="7" t="s">
        <v>29</v>
      </c>
      <c r="I3" s="8" t="s">
        <v>30</v>
      </c>
      <c r="J3" s="43" t="s">
        <v>58</v>
      </c>
      <c r="K3" s="8" t="s">
        <v>32</v>
      </c>
      <c r="L3" s="8" t="s">
        <v>31</v>
      </c>
      <c r="M3" s="7" t="s">
        <v>29</v>
      </c>
      <c r="N3" s="8" t="s">
        <v>30</v>
      </c>
      <c r="O3" s="43" t="s">
        <v>58</v>
      </c>
      <c r="P3" s="8" t="s">
        <v>32</v>
      </c>
      <c r="Q3" s="8" t="s">
        <v>31</v>
      </c>
      <c r="R3" s="7" t="s">
        <v>29</v>
      </c>
      <c r="S3" s="8" t="s">
        <v>30</v>
      </c>
      <c r="T3" s="43" t="s">
        <v>58</v>
      </c>
      <c r="U3" s="8" t="s">
        <v>32</v>
      </c>
      <c r="V3" s="8" t="s">
        <v>31</v>
      </c>
      <c r="W3" s="7" t="s">
        <v>29</v>
      </c>
      <c r="X3" s="8" t="s">
        <v>30</v>
      </c>
      <c r="Y3" s="43" t="s">
        <v>58</v>
      </c>
      <c r="Z3" s="8" t="s">
        <v>32</v>
      </c>
      <c r="AA3" s="8" t="s">
        <v>31</v>
      </c>
      <c r="AB3" s="7" t="s">
        <v>29</v>
      </c>
      <c r="AC3" s="8" t="s">
        <v>30</v>
      </c>
      <c r="AD3" s="43" t="s">
        <v>58</v>
      </c>
      <c r="AE3" s="8" t="s">
        <v>32</v>
      </c>
      <c r="AF3" s="8" t="s">
        <v>31</v>
      </c>
      <c r="AG3" s="7" t="s">
        <v>29</v>
      </c>
      <c r="AH3" s="146" t="s">
        <v>97</v>
      </c>
      <c r="AI3" s="8" t="s">
        <v>30</v>
      </c>
      <c r="AJ3" s="46" t="s">
        <v>58</v>
      </c>
      <c r="AK3" s="8" t="s">
        <v>32</v>
      </c>
      <c r="AL3" s="8" t="s">
        <v>31</v>
      </c>
    </row>
    <row r="4" spans="1:38" s="35" customFormat="1" ht="19.5" customHeight="1">
      <c r="A4" s="165" t="s">
        <v>82</v>
      </c>
      <c r="B4" s="6" t="s">
        <v>10</v>
      </c>
      <c r="C4" s="14"/>
      <c r="D4" s="14"/>
      <c r="E4" s="110"/>
      <c r="F4" s="14"/>
      <c r="G4" s="14"/>
      <c r="H4" s="14"/>
      <c r="I4" s="14"/>
      <c r="J4" s="111"/>
      <c r="K4" s="14"/>
      <c r="L4" s="14"/>
      <c r="M4" s="45">
        <v>178</v>
      </c>
      <c r="N4" s="14"/>
      <c r="O4" s="111"/>
      <c r="P4" s="14"/>
      <c r="Q4" s="14"/>
      <c r="R4" s="45">
        <v>171</v>
      </c>
      <c r="S4" s="14"/>
      <c r="T4" s="111"/>
      <c r="U4" s="14"/>
      <c r="V4" s="14"/>
      <c r="W4" s="45"/>
      <c r="X4" s="14"/>
      <c r="Y4" s="111"/>
      <c r="Z4" s="14"/>
      <c r="AA4" s="14"/>
      <c r="AB4" s="45"/>
      <c r="AC4" s="14"/>
      <c r="AD4" s="111"/>
      <c r="AE4" s="14"/>
      <c r="AF4" s="14"/>
      <c r="AG4" s="14"/>
      <c r="AH4" s="14"/>
      <c r="AI4" s="14"/>
      <c r="AJ4" s="111"/>
      <c r="AK4" s="14"/>
      <c r="AL4" s="14"/>
    </row>
    <row r="5" spans="1:38" s="35" customFormat="1" ht="19.5" customHeight="1">
      <c r="A5" s="165"/>
      <c r="B5" s="6" t="s">
        <v>11</v>
      </c>
      <c r="C5" s="14"/>
      <c r="D5" s="14"/>
      <c r="E5" s="110"/>
      <c r="F5" s="14"/>
      <c r="G5" s="14"/>
      <c r="H5" s="14"/>
      <c r="I5" s="14"/>
      <c r="J5" s="111"/>
      <c r="K5" s="14"/>
      <c r="L5" s="14"/>
      <c r="M5" s="45">
        <v>518</v>
      </c>
      <c r="N5" s="14"/>
      <c r="O5" s="111"/>
      <c r="P5" s="14"/>
      <c r="Q5" s="14"/>
      <c r="R5" s="45">
        <v>576</v>
      </c>
      <c r="S5" s="14"/>
      <c r="T5" s="111"/>
      <c r="U5" s="14"/>
      <c r="V5" s="14"/>
      <c r="W5" s="45">
        <v>683</v>
      </c>
      <c r="X5" s="14"/>
      <c r="Y5" s="111"/>
      <c r="Z5" s="14"/>
      <c r="AA5" s="14"/>
      <c r="AB5" s="45">
        <v>737</v>
      </c>
      <c r="AC5" s="14"/>
      <c r="AD5" s="111"/>
      <c r="AE5" s="14"/>
      <c r="AF5" s="14"/>
      <c r="AG5" s="45">
        <v>691</v>
      </c>
      <c r="AH5" s="45"/>
      <c r="AI5" s="14"/>
      <c r="AJ5" s="111"/>
      <c r="AK5" s="14"/>
      <c r="AL5" s="14"/>
    </row>
    <row r="6" spans="1:38" s="35" customFormat="1" ht="19.5" customHeight="1">
      <c r="A6" s="165"/>
      <c r="B6" s="6" t="s">
        <v>12</v>
      </c>
      <c r="C6" s="14"/>
      <c r="D6" s="14"/>
      <c r="E6" s="110"/>
      <c r="F6" s="14"/>
      <c r="G6" s="14"/>
      <c r="H6" s="14"/>
      <c r="I6" s="14"/>
      <c r="J6" s="111"/>
      <c r="K6" s="14"/>
      <c r="L6" s="14"/>
      <c r="M6" s="45">
        <v>109</v>
      </c>
      <c r="N6" s="14"/>
      <c r="O6" s="111"/>
      <c r="P6" s="14"/>
      <c r="Q6" s="14"/>
      <c r="R6" s="45">
        <v>132</v>
      </c>
      <c r="S6" s="14"/>
      <c r="T6" s="111"/>
      <c r="U6" s="14"/>
      <c r="V6" s="14"/>
      <c r="W6" s="45"/>
      <c r="X6" s="14"/>
      <c r="Y6" s="111"/>
      <c r="Z6" s="14"/>
      <c r="AA6" s="14"/>
      <c r="AB6" s="45"/>
      <c r="AC6" s="14"/>
      <c r="AD6" s="111"/>
      <c r="AE6" s="14"/>
      <c r="AF6" s="14"/>
      <c r="AG6" s="45"/>
      <c r="AH6" s="45"/>
      <c r="AI6" s="14"/>
      <c r="AJ6" s="111"/>
      <c r="AK6" s="14"/>
      <c r="AL6" s="14"/>
    </row>
    <row r="7" spans="1:38" s="35" customFormat="1" ht="19.5" customHeight="1">
      <c r="A7" s="165"/>
      <c r="B7" s="6" t="s">
        <v>13</v>
      </c>
      <c r="C7" s="14"/>
      <c r="D7" s="14"/>
      <c r="E7" s="110"/>
      <c r="F7" s="14"/>
      <c r="G7" s="14"/>
      <c r="H7" s="14"/>
      <c r="I7" s="14"/>
      <c r="J7" s="111"/>
      <c r="K7" s="14"/>
      <c r="L7" s="14"/>
      <c r="M7" s="45">
        <f>285</f>
        <v>285</v>
      </c>
      <c r="N7" s="14"/>
      <c r="O7" s="111"/>
      <c r="P7" s="14"/>
      <c r="Q7" s="14"/>
      <c r="R7" s="45">
        <v>320</v>
      </c>
      <c r="S7" s="14"/>
      <c r="T7" s="111"/>
      <c r="U7" s="14"/>
      <c r="V7" s="14"/>
      <c r="W7" s="45"/>
      <c r="X7" s="14"/>
      <c r="Y7" s="111"/>
      <c r="Z7" s="14"/>
      <c r="AA7" s="14"/>
      <c r="AB7" s="45"/>
      <c r="AC7" s="14"/>
      <c r="AD7" s="111"/>
      <c r="AE7" s="14"/>
      <c r="AF7" s="14"/>
      <c r="AG7" s="45"/>
      <c r="AH7" s="45"/>
      <c r="AI7" s="14"/>
      <c r="AJ7" s="111"/>
      <c r="AK7" s="14"/>
      <c r="AL7" s="14"/>
    </row>
    <row r="8" spans="1:38" s="35" customFormat="1" ht="19.5" customHeight="1">
      <c r="A8" s="165"/>
      <c r="B8" s="6" t="s">
        <v>14</v>
      </c>
      <c r="C8" s="14"/>
      <c r="D8" s="14"/>
      <c r="E8" s="110"/>
      <c r="F8" s="14"/>
      <c r="G8" s="14"/>
      <c r="H8" s="14"/>
      <c r="I8" s="14"/>
      <c r="J8" s="111"/>
      <c r="K8" s="14"/>
      <c r="L8" s="14"/>
      <c r="M8" s="45">
        <f>157</f>
        <v>157</v>
      </c>
      <c r="N8" s="14"/>
      <c r="O8" s="111"/>
      <c r="P8" s="14"/>
      <c r="Q8" s="14"/>
      <c r="R8" s="45">
        <v>166</v>
      </c>
      <c r="S8" s="14"/>
      <c r="T8" s="111"/>
      <c r="U8" s="14"/>
      <c r="V8" s="14"/>
      <c r="W8" s="45">
        <v>179</v>
      </c>
      <c r="X8" s="14"/>
      <c r="Y8" s="111"/>
      <c r="Z8" s="14"/>
      <c r="AA8" s="14"/>
      <c r="AB8" s="45">
        <v>147</v>
      </c>
      <c r="AC8" s="14"/>
      <c r="AD8" s="111"/>
      <c r="AE8" s="14"/>
      <c r="AF8" s="14"/>
      <c r="AG8" s="45">
        <v>130</v>
      </c>
      <c r="AH8" s="45"/>
      <c r="AI8" s="14"/>
      <c r="AJ8" s="111"/>
      <c r="AK8" s="14"/>
      <c r="AL8" s="14"/>
    </row>
    <row r="9" spans="1:38" s="35" customFormat="1" ht="19.5" customHeight="1">
      <c r="A9" s="165"/>
      <c r="B9" s="6" t="s">
        <v>15</v>
      </c>
      <c r="C9" s="14"/>
      <c r="D9" s="14"/>
      <c r="E9" s="110"/>
      <c r="F9" s="14"/>
      <c r="G9" s="14"/>
      <c r="H9" s="14"/>
      <c r="I9" s="14"/>
      <c r="J9" s="111"/>
      <c r="K9" s="14"/>
      <c r="L9" s="14"/>
      <c r="M9" s="45">
        <v>117</v>
      </c>
      <c r="N9" s="14"/>
      <c r="O9" s="111"/>
      <c r="P9" s="14"/>
      <c r="Q9" s="14"/>
      <c r="R9" s="45">
        <v>88</v>
      </c>
      <c r="S9" s="14"/>
      <c r="T9" s="111"/>
      <c r="U9" s="14"/>
      <c r="V9" s="14"/>
      <c r="W9" s="45"/>
      <c r="X9" s="14"/>
      <c r="Y9" s="111"/>
      <c r="Z9" s="14"/>
      <c r="AA9" s="14"/>
      <c r="AB9" s="45"/>
      <c r="AC9" s="14"/>
      <c r="AD9" s="111"/>
      <c r="AE9" s="14"/>
      <c r="AF9" s="14"/>
      <c r="AG9" s="45"/>
      <c r="AH9" s="45"/>
      <c r="AI9" s="14"/>
      <c r="AJ9" s="111"/>
      <c r="AK9" s="14"/>
      <c r="AL9" s="14"/>
    </row>
    <row r="10" spans="1:38" s="35" customFormat="1" ht="19.5" customHeight="1">
      <c r="A10" s="165"/>
      <c r="B10" s="6" t="s">
        <v>16</v>
      </c>
      <c r="C10" s="14"/>
      <c r="D10" s="14"/>
      <c r="E10" s="110"/>
      <c r="F10" s="14"/>
      <c r="G10" s="14"/>
      <c r="H10" s="14"/>
      <c r="I10" s="14"/>
      <c r="J10" s="111"/>
      <c r="K10" s="14"/>
      <c r="L10" s="14"/>
      <c r="M10" s="45">
        <v>180</v>
      </c>
      <c r="N10" s="14"/>
      <c r="O10" s="111"/>
      <c r="P10" s="14"/>
      <c r="Q10" s="14"/>
      <c r="R10" s="45">
        <v>185</v>
      </c>
      <c r="S10" s="14"/>
      <c r="T10" s="111"/>
      <c r="U10" s="14"/>
      <c r="V10" s="14"/>
      <c r="W10" s="45">
        <v>191</v>
      </c>
      <c r="X10" s="14"/>
      <c r="Y10" s="111"/>
      <c r="Z10" s="14"/>
      <c r="AA10" s="14"/>
      <c r="AB10" s="45">
        <v>222</v>
      </c>
      <c r="AC10" s="14"/>
      <c r="AD10" s="111"/>
      <c r="AE10" s="14"/>
      <c r="AF10" s="14"/>
      <c r="AG10" s="45">
        <v>173</v>
      </c>
      <c r="AH10" s="45"/>
      <c r="AI10" s="14"/>
      <c r="AJ10" s="111"/>
      <c r="AK10" s="14"/>
      <c r="AL10" s="14"/>
    </row>
    <row r="11" spans="1:38" s="35" customFormat="1" ht="19.5" customHeight="1">
      <c r="A11" s="165"/>
      <c r="B11" s="6" t="s">
        <v>17</v>
      </c>
      <c r="C11" s="14"/>
      <c r="D11" s="14"/>
      <c r="E11" s="110"/>
      <c r="F11" s="14"/>
      <c r="G11" s="14"/>
      <c r="H11" s="14"/>
      <c r="I11" s="14"/>
      <c r="J11" s="111"/>
      <c r="K11" s="14"/>
      <c r="L11" s="14"/>
      <c r="M11" s="45">
        <v>72</v>
      </c>
      <c r="N11" s="14"/>
      <c r="O11" s="111"/>
      <c r="P11" s="14"/>
      <c r="Q11" s="14"/>
      <c r="R11" s="45">
        <v>67</v>
      </c>
      <c r="S11" s="14"/>
      <c r="T11" s="111"/>
      <c r="U11" s="14"/>
      <c r="V11" s="14"/>
      <c r="W11" s="45"/>
      <c r="X11" s="14"/>
      <c r="Y11" s="111"/>
      <c r="Z11" s="14"/>
      <c r="AA11" s="14"/>
      <c r="AB11" s="45"/>
      <c r="AC11" s="14"/>
      <c r="AD11" s="111"/>
      <c r="AE11" s="14"/>
      <c r="AF11" s="14"/>
      <c r="AG11" s="45"/>
      <c r="AH11" s="45"/>
      <c r="AI11" s="14"/>
      <c r="AJ11" s="111"/>
      <c r="AK11" s="14"/>
      <c r="AL11" s="14"/>
    </row>
    <row r="12" spans="1:38" s="35" customFormat="1" ht="19.5" customHeight="1">
      <c r="A12" s="165"/>
      <c r="B12" s="6" t="s">
        <v>90</v>
      </c>
      <c r="C12" s="14"/>
      <c r="D12" s="14"/>
      <c r="E12" s="110"/>
      <c r="F12" s="14"/>
      <c r="G12" s="14"/>
      <c r="H12" s="14"/>
      <c r="I12" s="14"/>
      <c r="J12" s="111"/>
      <c r="K12" s="14"/>
      <c r="L12" s="14"/>
      <c r="M12" s="45"/>
      <c r="N12" s="14"/>
      <c r="O12" s="111"/>
      <c r="P12" s="14"/>
      <c r="Q12" s="14"/>
      <c r="R12" s="45"/>
      <c r="S12" s="14"/>
      <c r="T12" s="111"/>
      <c r="U12" s="14"/>
      <c r="V12" s="14"/>
      <c r="W12" s="45">
        <v>793</v>
      </c>
      <c r="X12" s="14"/>
      <c r="Y12" s="111"/>
      <c r="Z12" s="14"/>
      <c r="AA12" s="14"/>
      <c r="AB12" s="45">
        <v>733</v>
      </c>
      <c r="AC12" s="14"/>
      <c r="AD12" s="111"/>
      <c r="AE12" s="14"/>
      <c r="AF12" s="14"/>
      <c r="AG12" s="45">
        <v>686</v>
      </c>
      <c r="AH12" s="45"/>
      <c r="AI12" s="14"/>
      <c r="AJ12" s="111"/>
      <c r="AK12" s="14"/>
      <c r="AL12" s="14"/>
    </row>
    <row r="13" spans="1:38" s="35" customFormat="1" ht="19.5" customHeight="1">
      <c r="A13" s="165"/>
      <c r="B13" s="6" t="s">
        <v>18</v>
      </c>
      <c r="C13" s="14"/>
      <c r="D13" s="14"/>
      <c r="E13" s="110"/>
      <c r="F13" s="14"/>
      <c r="G13" s="14"/>
      <c r="H13" s="14"/>
      <c r="I13" s="14"/>
      <c r="J13" s="111"/>
      <c r="K13" s="14"/>
      <c r="L13" s="14"/>
      <c r="M13" s="45">
        <v>211</v>
      </c>
      <c r="N13" s="14"/>
      <c r="O13" s="111"/>
      <c r="P13" s="14"/>
      <c r="Q13" s="14"/>
      <c r="R13" s="45">
        <v>314</v>
      </c>
      <c r="S13" s="14"/>
      <c r="T13" s="111"/>
      <c r="U13" s="14"/>
      <c r="V13" s="14"/>
      <c r="W13" s="45">
        <v>351</v>
      </c>
      <c r="X13" s="14"/>
      <c r="Y13" s="111"/>
      <c r="Z13" s="14"/>
      <c r="AA13" s="14"/>
      <c r="AB13" s="45">
        <v>377</v>
      </c>
      <c r="AC13" s="14"/>
      <c r="AD13" s="111"/>
      <c r="AE13" s="14"/>
      <c r="AF13" s="14"/>
      <c r="AG13" s="45">
        <v>379</v>
      </c>
      <c r="AH13" s="45"/>
      <c r="AI13" s="14"/>
      <c r="AJ13" s="111"/>
      <c r="AK13" s="14"/>
      <c r="AL13" s="14"/>
    </row>
    <row r="14" spans="1:38" ht="18" customHeight="1">
      <c r="A14" s="165"/>
      <c r="B14" s="69" t="s">
        <v>19</v>
      </c>
      <c r="C14" s="44">
        <f>SUM(C4:C13)</f>
        <v>0</v>
      </c>
      <c r="D14" s="20"/>
      <c r="E14" s="48">
        <v>1.13</v>
      </c>
      <c r="F14" s="4"/>
      <c r="G14" s="4"/>
      <c r="H14" s="44">
        <f>H4+H5+H6+H7+H8+H9+H10+H11+H13</f>
        <v>0</v>
      </c>
      <c r="I14" s="20"/>
      <c r="J14" s="53">
        <v>1.29</v>
      </c>
      <c r="K14" s="2"/>
      <c r="L14" s="3"/>
      <c r="M14" s="44">
        <f>SUM(M4:M13)</f>
        <v>1827</v>
      </c>
      <c r="N14" s="3"/>
      <c r="O14" s="53"/>
      <c r="P14" s="3"/>
      <c r="Q14" s="3"/>
      <c r="R14" s="44">
        <f>SUM(R4:R13)</f>
        <v>2019</v>
      </c>
      <c r="S14" s="3"/>
      <c r="T14" s="53"/>
      <c r="U14" s="3"/>
      <c r="V14" s="3"/>
      <c r="W14" s="44">
        <f>SUM(W4:W13)</f>
        <v>2197</v>
      </c>
      <c r="X14" s="3"/>
      <c r="Y14" s="53"/>
      <c r="Z14" s="3"/>
      <c r="AA14" s="3"/>
      <c r="AB14" s="44">
        <f>SUM(AB4:AB13)</f>
        <v>2216</v>
      </c>
      <c r="AC14" s="3"/>
      <c r="AD14" s="53"/>
      <c r="AE14" s="3"/>
      <c r="AF14" s="3"/>
      <c r="AG14" s="44">
        <f>SUM(AG4:AG13)</f>
        <v>2059</v>
      </c>
      <c r="AH14" s="44"/>
      <c r="AI14" s="44"/>
      <c r="AJ14" s="53"/>
      <c r="AK14" s="3"/>
      <c r="AL14" s="3"/>
    </row>
    <row r="15" spans="1:38" ht="15.75">
      <c r="A15" s="164" t="s">
        <v>37</v>
      </c>
      <c r="B15" s="6" t="s">
        <v>10</v>
      </c>
      <c r="C15" s="17">
        <f>2+10+9+1+4+12</f>
        <v>38</v>
      </c>
      <c r="D15" s="17"/>
      <c r="E15" s="47">
        <f>39/38</f>
        <v>1.0263157894736843</v>
      </c>
      <c r="F15" s="11"/>
      <c r="G15" s="11"/>
      <c r="H15" s="17">
        <f>2+6+9+2+2</f>
        <v>21</v>
      </c>
      <c r="I15" s="17"/>
      <c r="J15" s="33">
        <f>32/21</f>
        <v>1.5238095238095237</v>
      </c>
      <c r="K15" s="12"/>
      <c r="L15" s="9"/>
      <c r="M15" s="45">
        <v>38</v>
      </c>
      <c r="N15" s="87"/>
      <c r="O15" s="33">
        <f>43/38</f>
        <v>1.131578947368421</v>
      </c>
      <c r="P15" s="87"/>
      <c r="Q15" s="87"/>
      <c r="R15" s="45">
        <v>33</v>
      </c>
      <c r="S15" s="87"/>
      <c r="T15" s="33">
        <f>52/33</f>
        <v>1.5757575757575757</v>
      </c>
      <c r="U15" s="87"/>
      <c r="V15" s="87"/>
      <c r="W15" s="45"/>
      <c r="X15" s="87"/>
      <c r="Y15" s="33"/>
      <c r="Z15" s="87"/>
      <c r="AA15" s="87"/>
      <c r="AB15" s="45"/>
      <c r="AC15" s="87"/>
      <c r="AD15" s="33"/>
      <c r="AE15" s="87"/>
      <c r="AF15" s="87"/>
      <c r="AG15" s="25"/>
      <c r="AH15" s="25"/>
      <c r="AI15" s="26"/>
      <c r="AJ15" s="66"/>
      <c r="AK15" s="12"/>
      <c r="AL15" s="9"/>
    </row>
    <row r="16" spans="1:38" ht="18" customHeight="1">
      <c r="A16" s="164"/>
      <c r="B16" s="6" t="s">
        <v>11</v>
      </c>
      <c r="C16" s="17">
        <f>23+45+15+29+34+22+18+17+72+2+10+11+3+8+10+11</f>
        <v>330</v>
      </c>
      <c r="D16" s="17"/>
      <c r="E16" s="47">
        <f>(361)/330</f>
        <v>1.093939393939394</v>
      </c>
      <c r="F16" s="11"/>
      <c r="G16" s="11"/>
      <c r="H16" s="17">
        <f>85+15+3+39+36+38+28+31+3+4+4</f>
        <v>286</v>
      </c>
      <c r="I16" s="17"/>
      <c r="J16" s="33">
        <f>362/286</f>
        <v>1.2657342657342658</v>
      </c>
      <c r="K16" s="12"/>
      <c r="L16" s="9"/>
      <c r="M16" s="45">
        <v>212</v>
      </c>
      <c r="N16" s="87"/>
      <c r="O16" s="33">
        <f>362/212</f>
        <v>1.7075471698113207</v>
      </c>
      <c r="P16" s="87"/>
      <c r="Q16" s="87"/>
      <c r="R16" s="45">
        <v>252</v>
      </c>
      <c r="S16" s="87"/>
      <c r="T16" s="33">
        <f>389/252</f>
        <v>1.5436507936507937</v>
      </c>
      <c r="U16" s="87"/>
      <c r="V16" s="87"/>
      <c r="W16" s="45">
        <v>313</v>
      </c>
      <c r="X16" s="87"/>
      <c r="Y16" s="33">
        <f>168/313</f>
        <v>0.536741214057508</v>
      </c>
      <c r="Z16" s="87"/>
      <c r="AA16" s="87"/>
      <c r="AB16" s="45">
        <v>274</v>
      </c>
      <c r="AC16" s="87"/>
      <c r="AD16" s="33">
        <f>159/AB16</f>
        <v>0.5802919708029197</v>
      </c>
      <c r="AE16" s="87"/>
      <c r="AF16" s="87"/>
      <c r="AG16" s="25">
        <v>212</v>
      </c>
      <c r="AH16" s="25"/>
      <c r="AI16" s="26"/>
      <c r="AJ16" s="66">
        <f>162/212</f>
        <v>0.7641509433962265</v>
      </c>
      <c r="AK16" s="12"/>
      <c r="AL16" s="9"/>
    </row>
    <row r="17" spans="1:38" ht="18" customHeight="1">
      <c r="A17" s="164"/>
      <c r="B17" s="6" t="s">
        <v>12</v>
      </c>
      <c r="C17" s="17">
        <f>2+6+6+1+1+1+1</f>
        <v>18</v>
      </c>
      <c r="D17" s="17"/>
      <c r="E17" s="47">
        <f>(13+2)/18</f>
        <v>0.8333333333333334</v>
      </c>
      <c r="F17" s="11"/>
      <c r="G17" s="11"/>
      <c r="H17" s="17">
        <f>7+2</f>
        <v>9</v>
      </c>
      <c r="I17" s="17"/>
      <c r="J17" s="33">
        <f>10/9</f>
        <v>1.1111111111111112</v>
      </c>
      <c r="K17" s="13"/>
      <c r="L17" s="9"/>
      <c r="M17" s="45">
        <v>24</v>
      </c>
      <c r="N17" s="87"/>
      <c r="O17" s="33">
        <f>24/24</f>
        <v>1</v>
      </c>
      <c r="P17" s="87"/>
      <c r="Q17" s="87"/>
      <c r="R17" s="45">
        <v>23</v>
      </c>
      <c r="S17" s="87"/>
      <c r="T17" s="33">
        <f>23/23</f>
        <v>1</v>
      </c>
      <c r="U17" s="87"/>
      <c r="V17" s="87"/>
      <c r="W17" s="45"/>
      <c r="X17" s="87"/>
      <c r="Y17" s="33"/>
      <c r="Z17" s="87"/>
      <c r="AA17" s="87"/>
      <c r="AB17" s="45"/>
      <c r="AC17" s="87"/>
      <c r="AD17" s="33"/>
      <c r="AE17" s="87"/>
      <c r="AF17" s="87"/>
      <c r="AG17" s="25"/>
      <c r="AH17" s="25"/>
      <c r="AI17" s="26"/>
      <c r="AJ17" s="66"/>
      <c r="AK17" s="13"/>
      <c r="AL17" s="9"/>
    </row>
    <row r="18" spans="1:38" ht="18" customHeight="1">
      <c r="A18" s="164"/>
      <c r="B18" s="6" t="s">
        <v>13</v>
      </c>
      <c r="C18" s="17">
        <f>2+12+16+3+4+4+4+4</f>
        <v>49</v>
      </c>
      <c r="D18" s="17"/>
      <c r="E18" s="47">
        <f>54/49</f>
        <v>1.1020408163265305</v>
      </c>
      <c r="F18" s="11"/>
      <c r="G18" s="11"/>
      <c r="H18" s="17">
        <f>17+2+17+3+2</f>
        <v>41</v>
      </c>
      <c r="I18" s="17"/>
      <c r="J18" s="33">
        <f>40/41</f>
        <v>0.975609756097561</v>
      </c>
      <c r="K18" s="12"/>
      <c r="L18" s="9"/>
      <c r="M18" s="45">
        <v>50</v>
      </c>
      <c r="N18" s="87"/>
      <c r="O18" s="33">
        <f>64/50</f>
        <v>1.28</v>
      </c>
      <c r="P18" s="87"/>
      <c r="Q18" s="87"/>
      <c r="R18" s="45">
        <v>57</v>
      </c>
      <c r="S18" s="87"/>
      <c r="T18" s="33">
        <f>77/57</f>
        <v>1.3508771929824561</v>
      </c>
      <c r="U18" s="87"/>
      <c r="V18" s="87"/>
      <c r="W18" s="45"/>
      <c r="X18" s="87"/>
      <c r="Y18" s="33"/>
      <c r="Z18" s="87"/>
      <c r="AA18" s="87"/>
      <c r="AB18" s="45"/>
      <c r="AC18" s="87"/>
      <c r="AD18" s="33"/>
      <c r="AE18" s="87"/>
      <c r="AF18" s="87"/>
      <c r="AG18" s="25"/>
      <c r="AH18" s="25"/>
      <c r="AI18" s="26"/>
      <c r="AJ18" s="66"/>
      <c r="AK18" s="12"/>
      <c r="AL18" s="9"/>
    </row>
    <row r="19" spans="1:38" ht="18" customHeight="1">
      <c r="A19" s="164"/>
      <c r="B19" s="6" t="s">
        <v>14</v>
      </c>
      <c r="C19" s="17">
        <f>3+3+8+7+6+6+2+2+1+4+4</f>
        <v>46</v>
      </c>
      <c r="D19" s="17"/>
      <c r="E19" s="47">
        <f>(76)/46</f>
        <v>1.6521739130434783</v>
      </c>
      <c r="F19" s="11"/>
      <c r="G19" s="11"/>
      <c r="H19" s="17">
        <f>11+2+9+7+13+1</f>
        <v>43</v>
      </c>
      <c r="I19" s="17"/>
      <c r="J19" s="33">
        <f>72/43</f>
        <v>1.6744186046511629</v>
      </c>
      <c r="K19" s="12"/>
      <c r="L19" s="9"/>
      <c r="M19" s="45">
        <v>19</v>
      </c>
      <c r="N19" s="87"/>
      <c r="O19" s="33">
        <f>19/19</f>
        <v>1</v>
      </c>
      <c r="P19" s="87"/>
      <c r="Q19" s="87"/>
      <c r="R19" s="45">
        <v>36</v>
      </c>
      <c r="S19" s="87"/>
      <c r="T19" s="33">
        <f>58/36</f>
        <v>1.6111111111111112</v>
      </c>
      <c r="U19" s="87"/>
      <c r="V19" s="87"/>
      <c r="W19" s="45">
        <v>41</v>
      </c>
      <c r="X19" s="87"/>
      <c r="Y19" s="33">
        <f>27/41</f>
        <v>0.6585365853658537</v>
      </c>
      <c r="Z19" s="87"/>
      <c r="AA19" s="87"/>
      <c r="AB19" s="45">
        <v>36</v>
      </c>
      <c r="AC19" s="87"/>
      <c r="AD19" s="33">
        <f>25/AB19</f>
        <v>0.6944444444444444</v>
      </c>
      <c r="AE19" s="87"/>
      <c r="AF19" s="87"/>
      <c r="AG19" s="25">
        <v>35</v>
      </c>
      <c r="AH19" s="25"/>
      <c r="AI19" s="26"/>
      <c r="AJ19" s="66">
        <f>25/35</f>
        <v>0.7142857142857143</v>
      </c>
      <c r="AK19" s="12"/>
      <c r="AL19" s="9"/>
    </row>
    <row r="20" spans="1:38" ht="18" customHeight="1">
      <c r="A20" s="164"/>
      <c r="B20" s="6" t="s">
        <v>15</v>
      </c>
      <c r="C20" s="17">
        <f>3+4+2+4+1</f>
        <v>14</v>
      </c>
      <c r="D20" s="17"/>
      <c r="E20" s="47">
        <f>(18)/14</f>
        <v>1.2857142857142858</v>
      </c>
      <c r="F20" s="11"/>
      <c r="G20" s="11"/>
      <c r="H20" s="17">
        <f>4+3+3</f>
        <v>10</v>
      </c>
      <c r="I20" s="17"/>
      <c r="J20" s="33">
        <f>16/10</f>
        <v>1.6</v>
      </c>
      <c r="K20" s="12"/>
      <c r="L20" s="134"/>
      <c r="M20" s="45">
        <v>20</v>
      </c>
      <c r="N20" s="87"/>
      <c r="O20" s="33">
        <f>28/20</f>
        <v>1.4</v>
      </c>
      <c r="P20" s="87"/>
      <c r="Q20" s="87"/>
      <c r="R20" s="45">
        <v>20</v>
      </c>
      <c r="S20" s="87"/>
      <c r="T20" s="33">
        <f>60/20</f>
        <v>3</v>
      </c>
      <c r="U20" s="87"/>
      <c r="V20" s="87"/>
      <c r="W20" s="45"/>
      <c r="X20" s="87"/>
      <c r="Y20" s="33"/>
      <c r="Z20" s="87"/>
      <c r="AA20" s="87"/>
      <c r="AB20" s="45"/>
      <c r="AC20" s="87"/>
      <c r="AD20" s="33"/>
      <c r="AE20" s="87"/>
      <c r="AF20" s="87"/>
      <c r="AG20" s="25"/>
      <c r="AH20" s="25"/>
      <c r="AI20" s="26"/>
      <c r="AJ20" s="66"/>
      <c r="AK20" s="12"/>
      <c r="AL20" s="134"/>
    </row>
    <row r="21" spans="1:38" ht="18" customHeight="1">
      <c r="A21" s="164"/>
      <c r="B21" s="6" t="s">
        <v>16</v>
      </c>
      <c r="C21" s="17">
        <f>2+12+9+8+4+3+3+6+4+1+1+3+1+1+1</f>
        <v>59</v>
      </c>
      <c r="D21" s="17"/>
      <c r="E21" s="47">
        <f>80/59</f>
        <v>1.3559322033898304</v>
      </c>
      <c r="F21" s="11"/>
      <c r="G21" s="11"/>
      <c r="H21" s="17">
        <f>16+8+13+5+1+4+3+3</f>
        <v>53</v>
      </c>
      <c r="I21" s="17"/>
      <c r="J21" s="33">
        <f>73/53</f>
        <v>1.3773584905660377</v>
      </c>
      <c r="K21" s="12"/>
      <c r="L21" s="9"/>
      <c r="M21" s="45">
        <v>56</v>
      </c>
      <c r="N21" s="87"/>
      <c r="O21" s="33">
        <f>84/56</f>
        <v>1.5</v>
      </c>
      <c r="P21" s="87"/>
      <c r="Q21" s="87"/>
      <c r="R21" s="45">
        <v>46</v>
      </c>
      <c r="S21" s="87"/>
      <c r="T21" s="33">
        <f>70/46</f>
        <v>1.5217391304347827</v>
      </c>
      <c r="U21" s="87"/>
      <c r="V21" s="87"/>
      <c r="W21" s="45">
        <v>40</v>
      </c>
      <c r="X21" s="87"/>
      <c r="Y21" s="33">
        <f>36/40</f>
        <v>0.9</v>
      </c>
      <c r="Z21" s="87"/>
      <c r="AA21" s="87"/>
      <c r="AB21" s="45">
        <v>41</v>
      </c>
      <c r="AC21" s="87"/>
      <c r="AD21" s="33">
        <f>36/AB21</f>
        <v>0.8780487804878049</v>
      </c>
      <c r="AE21" s="87"/>
      <c r="AF21" s="87"/>
      <c r="AG21" s="25">
        <v>42</v>
      </c>
      <c r="AH21" s="25"/>
      <c r="AI21" s="26"/>
      <c r="AJ21" s="86">
        <f>39/42</f>
        <v>0.9285714285714286</v>
      </c>
      <c r="AK21" s="12"/>
      <c r="AL21" s="9"/>
    </row>
    <row r="22" spans="1:38" ht="18" customHeight="1">
      <c r="A22" s="164"/>
      <c r="B22" s="6" t="s">
        <v>17</v>
      </c>
      <c r="C22" s="17">
        <f>4+4+2+2</f>
        <v>12</v>
      </c>
      <c r="D22" s="17"/>
      <c r="E22" s="47">
        <f>18/12</f>
        <v>1.5</v>
      </c>
      <c r="F22" s="11"/>
      <c r="G22" s="11"/>
      <c r="H22" s="17">
        <f>5+1+2</f>
        <v>8</v>
      </c>
      <c r="I22" s="17"/>
      <c r="J22" s="33">
        <f>8/8</f>
        <v>1</v>
      </c>
      <c r="K22" s="12"/>
      <c r="L22" s="9"/>
      <c r="M22" s="45">
        <v>4</v>
      </c>
      <c r="N22" s="87"/>
      <c r="O22" s="33">
        <f>4/4</f>
        <v>1</v>
      </c>
      <c r="P22" s="87"/>
      <c r="Q22" s="87"/>
      <c r="R22" s="45">
        <v>5</v>
      </c>
      <c r="S22" s="87"/>
      <c r="T22" s="33">
        <f>5/5</f>
        <v>1</v>
      </c>
      <c r="U22" s="87"/>
      <c r="V22" s="87"/>
      <c r="W22" s="45"/>
      <c r="X22" s="87"/>
      <c r="Y22" s="33"/>
      <c r="Z22" s="87"/>
      <c r="AA22" s="87"/>
      <c r="AB22" s="45"/>
      <c r="AC22" s="87"/>
      <c r="AD22" s="33"/>
      <c r="AE22" s="87"/>
      <c r="AF22" s="87"/>
      <c r="AG22" s="25"/>
      <c r="AH22" s="25"/>
      <c r="AI22" s="26"/>
      <c r="AJ22" s="66"/>
      <c r="AK22" s="12"/>
      <c r="AL22" s="9"/>
    </row>
    <row r="23" spans="1:38" ht="18" customHeight="1">
      <c r="A23" s="164"/>
      <c r="B23" s="6" t="s">
        <v>90</v>
      </c>
      <c r="C23" s="17"/>
      <c r="D23" s="17"/>
      <c r="E23" s="47"/>
      <c r="F23" s="11"/>
      <c r="G23" s="11"/>
      <c r="H23" s="17"/>
      <c r="I23" s="17"/>
      <c r="J23" s="33"/>
      <c r="K23" s="12"/>
      <c r="L23" s="9"/>
      <c r="M23" s="45"/>
      <c r="N23" s="87"/>
      <c r="O23" s="33"/>
      <c r="P23" s="87"/>
      <c r="Q23" s="87"/>
      <c r="R23" s="45"/>
      <c r="S23" s="87"/>
      <c r="T23" s="33"/>
      <c r="U23" s="87"/>
      <c r="V23" s="87"/>
      <c r="W23" s="45">
        <v>176</v>
      </c>
      <c r="X23" s="87"/>
      <c r="Y23" s="33">
        <f>142/176</f>
        <v>0.8068181818181818</v>
      </c>
      <c r="Z23" s="87"/>
      <c r="AA23" s="87"/>
      <c r="AB23" s="45">
        <v>164</v>
      </c>
      <c r="AC23" s="87"/>
      <c r="AD23" s="33">
        <f>147/AB23</f>
        <v>0.8963414634146342</v>
      </c>
      <c r="AE23" s="87"/>
      <c r="AF23" s="87"/>
      <c r="AG23" s="25">
        <v>173</v>
      </c>
      <c r="AH23" s="25"/>
      <c r="AI23" s="26"/>
      <c r="AJ23" s="66">
        <f>164/173</f>
        <v>0.9479768786127167</v>
      </c>
      <c r="AK23" s="12"/>
      <c r="AL23" s="9"/>
    </row>
    <row r="24" spans="1:38" ht="18" customHeight="1">
      <c r="A24" s="164"/>
      <c r="B24" s="6" t="s">
        <v>18</v>
      </c>
      <c r="C24" s="17">
        <f>1+9+5+23+23+6+9+8+18+6+1+2+5+4+1</f>
        <v>121</v>
      </c>
      <c r="D24" s="17"/>
      <c r="E24" s="47">
        <f>116/121</f>
        <v>0.9586776859504132</v>
      </c>
      <c r="F24" s="11"/>
      <c r="G24" s="11"/>
      <c r="H24" s="17">
        <f>13+2+30+23+2+9+2</f>
        <v>81</v>
      </c>
      <c r="I24" s="17"/>
      <c r="J24" s="33">
        <f>100/81</f>
        <v>1.2345679012345678</v>
      </c>
      <c r="K24" s="12"/>
      <c r="L24" s="9"/>
      <c r="M24" s="45">
        <v>103</v>
      </c>
      <c r="N24" s="87"/>
      <c r="O24" s="33">
        <f>168/103</f>
        <v>1.6310679611650485</v>
      </c>
      <c r="P24" s="87"/>
      <c r="Q24" s="87"/>
      <c r="R24" s="45">
        <v>99</v>
      </c>
      <c r="S24" s="87"/>
      <c r="T24" s="33">
        <f>196/99</f>
        <v>1.97979797979798</v>
      </c>
      <c r="U24" s="87"/>
      <c r="V24" s="87"/>
      <c r="W24" s="45">
        <v>103</v>
      </c>
      <c r="X24" s="87"/>
      <c r="Y24" s="33">
        <f>69/103</f>
        <v>0.6699029126213593</v>
      </c>
      <c r="Z24" s="87"/>
      <c r="AA24" s="87"/>
      <c r="AB24" s="45">
        <v>91</v>
      </c>
      <c r="AC24" s="87"/>
      <c r="AD24" s="33">
        <f>66/AB24</f>
        <v>0.7252747252747253</v>
      </c>
      <c r="AE24" s="87"/>
      <c r="AF24" s="87"/>
      <c r="AG24" s="25">
        <v>81</v>
      </c>
      <c r="AH24" s="25"/>
      <c r="AI24" s="26"/>
      <c r="AJ24" s="66">
        <f>63/81</f>
        <v>0.7777777777777778</v>
      </c>
      <c r="AK24" s="12"/>
      <c r="AL24" s="9"/>
    </row>
    <row r="25" spans="1:38" ht="18" customHeight="1">
      <c r="A25" s="164"/>
      <c r="B25" s="69" t="s">
        <v>19</v>
      </c>
      <c r="C25" s="44">
        <f>SUM(C15:C24)</f>
        <v>687</v>
      </c>
      <c r="D25" s="20"/>
      <c r="E25" s="48">
        <v>1.13</v>
      </c>
      <c r="F25" s="4"/>
      <c r="G25" s="4"/>
      <c r="H25" s="44">
        <f>H15+H16+H17+H18+H19+H20+H21+H22+H24</f>
        <v>552</v>
      </c>
      <c r="I25" s="20"/>
      <c r="J25" s="53">
        <v>1.29</v>
      </c>
      <c r="K25" s="2"/>
      <c r="L25" s="3"/>
      <c r="M25" s="44">
        <f>SUM(M15:M24)</f>
        <v>526</v>
      </c>
      <c r="N25" s="3"/>
      <c r="O25" s="53">
        <v>1.51</v>
      </c>
      <c r="P25" s="3"/>
      <c r="Q25" s="3"/>
      <c r="R25" s="44">
        <f>SUM(R15:R24)</f>
        <v>571</v>
      </c>
      <c r="S25" s="3"/>
      <c r="T25" s="53">
        <f>930/571</f>
        <v>1.6287215411558669</v>
      </c>
      <c r="U25" s="3"/>
      <c r="V25" s="3"/>
      <c r="W25" s="44">
        <f>SUM(W15:W24)</f>
        <v>673</v>
      </c>
      <c r="X25" s="3"/>
      <c r="Y25" s="53">
        <f>442/673</f>
        <v>0.6567607726597325</v>
      </c>
      <c r="Z25" s="3"/>
      <c r="AA25" s="3"/>
      <c r="AB25" s="44">
        <f>SUM(AB15:AB24)</f>
        <v>606</v>
      </c>
      <c r="AC25" s="3"/>
      <c r="AD25" s="53">
        <f>(159+25+36+147+66)/AB25</f>
        <v>0.7145214521452146</v>
      </c>
      <c r="AE25" s="3"/>
      <c r="AF25" s="3"/>
      <c r="AG25" s="128">
        <f>SUM(AG15:AG24)</f>
        <v>543</v>
      </c>
      <c r="AH25" s="128"/>
      <c r="AI25" s="3"/>
      <c r="AJ25" s="48">
        <f>453/543</f>
        <v>0.8342541436464088</v>
      </c>
      <c r="AK25" s="2"/>
      <c r="AL25" s="3"/>
    </row>
    <row r="26" spans="1:38" ht="18" customHeight="1">
      <c r="A26" s="165" t="s">
        <v>70</v>
      </c>
      <c r="B26" s="6" t="s">
        <v>10</v>
      </c>
      <c r="C26" s="17">
        <v>5</v>
      </c>
      <c r="D26" s="19"/>
      <c r="E26" s="47"/>
      <c r="F26" s="11"/>
      <c r="G26" s="11"/>
      <c r="H26" s="17">
        <v>3</v>
      </c>
      <c r="I26" s="19"/>
      <c r="J26" s="33"/>
      <c r="K26" s="12"/>
      <c r="L26" s="9"/>
      <c r="M26" s="45">
        <v>29</v>
      </c>
      <c r="N26" s="87"/>
      <c r="O26" s="87"/>
      <c r="P26" s="87"/>
      <c r="Q26" s="87"/>
      <c r="R26" s="45">
        <v>33</v>
      </c>
      <c r="S26" s="87"/>
      <c r="T26" s="87"/>
      <c r="U26" s="87"/>
      <c r="V26" s="87"/>
      <c r="W26" s="45"/>
      <c r="X26" s="87"/>
      <c r="Y26" s="87"/>
      <c r="Z26" s="87"/>
      <c r="AA26" s="87"/>
      <c r="AB26" s="45"/>
      <c r="AC26" s="87"/>
      <c r="AD26" s="87"/>
      <c r="AE26" s="87"/>
      <c r="AF26" s="87"/>
      <c r="AG26" s="25"/>
      <c r="AH26" s="25"/>
      <c r="AI26" s="54"/>
      <c r="AJ26" s="86"/>
      <c r="AK26" s="12"/>
      <c r="AL26" s="9"/>
    </row>
    <row r="27" spans="1:38" ht="18" customHeight="1">
      <c r="A27" s="165"/>
      <c r="B27" s="6" t="s">
        <v>11</v>
      </c>
      <c r="C27" s="17">
        <v>12</v>
      </c>
      <c r="D27" s="19"/>
      <c r="E27" s="47"/>
      <c r="F27" s="11"/>
      <c r="G27" s="11"/>
      <c r="H27" s="17">
        <v>7</v>
      </c>
      <c r="I27" s="19"/>
      <c r="J27" s="33"/>
      <c r="K27" s="12"/>
      <c r="L27" s="17"/>
      <c r="M27" s="45">
        <v>67</v>
      </c>
      <c r="N27" s="87"/>
      <c r="O27" s="87"/>
      <c r="P27" s="87"/>
      <c r="Q27" s="87"/>
      <c r="R27" s="45">
        <v>114</v>
      </c>
      <c r="S27" s="87"/>
      <c r="T27" s="87"/>
      <c r="U27" s="87"/>
      <c r="V27" s="87"/>
      <c r="W27" s="45">
        <v>127</v>
      </c>
      <c r="X27" s="87"/>
      <c r="Y27" s="87"/>
      <c r="Z27" s="87"/>
      <c r="AA27" s="87"/>
      <c r="AB27" s="45">
        <v>84</v>
      </c>
      <c r="AC27" s="87"/>
      <c r="AD27" s="87"/>
      <c r="AE27" s="87"/>
      <c r="AF27" s="87"/>
      <c r="AG27" s="25">
        <v>83</v>
      </c>
      <c r="AH27" s="25"/>
      <c r="AI27" s="54"/>
      <c r="AJ27" s="86"/>
      <c r="AK27" s="12"/>
      <c r="AL27" s="9"/>
    </row>
    <row r="28" spans="1:38" ht="18" customHeight="1">
      <c r="A28" s="165"/>
      <c r="B28" s="6" t="s">
        <v>12</v>
      </c>
      <c r="C28" s="17">
        <v>0</v>
      </c>
      <c r="D28" s="19"/>
      <c r="E28" s="47"/>
      <c r="F28" s="11"/>
      <c r="G28" s="11"/>
      <c r="H28" s="17">
        <v>0</v>
      </c>
      <c r="I28" s="19"/>
      <c r="J28" s="33"/>
      <c r="K28" s="13"/>
      <c r="L28" s="17"/>
      <c r="M28" s="45">
        <v>4</v>
      </c>
      <c r="N28" s="87"/>
      <c r="O28" s="87"/>
      <c r="P28" s="87"/>
      <c r="Q28" s="87"/>
      <c r="R28" s="45">
        <v>7</v>
      </c>
      <c r="S28" s="87"/>
      <c r="T28" s="87"/>
      <c r="U28" s="87"/>
      <c r="V28" s="87"/>
      <c r="W28" s="45"/>
      <c r="X28" s="87"/>
      <c r="Y28" s="87"/>
      <c r="Z28" s="87"/>
      <c r="AA28" s="87"/>
      <c r="AB28" s="45"/>
      <c r="AC28" s="87"/>
      <c r="AD28" s="87"/>
      <c r="AE28" s="87"/>
      <c r="AF28" s="87"/>
      <c r="AG28" s="25"/>
      <c r="AH28" s="25"/>
      <c r="AI28" s="54"/>
      <c r="AJ28" s="86"/>
      <c r="AK28" s="13"/>
      <c r="AL28" s="9"/>
    </row>
    <row r="29" spans="1:38" ht="18" customHeight="1">
      <c r="A29" s="165"/>
      <c r="B29" s="6" t="s">
        <v>13</v>
      </c>
      <c r="C29" s="17">
        <v>0</v>
      </c>
      <c r="D29" s="19"/>
      <c r="E29" s="47"/>
      <c r="F29" s="11"/>
      <c r="G29" s="11"/>
      <c r="H29" s="17">
        <v>0</v>
      </c>
      <c r="I29" s="19"/>
      <c r="J29" s="33"/>
      <c r="K29" s="12"/>
      <c r="L29" s="17"/>
      <c r="M29" s="45">
        <v>21</v>
      </c>
      <c r="N29" s="87"/>
      <c r="O29" s="87"/>
      <c r="P29" s="87"/>
      <c r="Q29" s="87"/>
      <c r="R29" s="45">
        <v>34</v>
      </c>
      <c r="S29" s="87"/>
      <c r="T29" s="87"/>
      <c r="U29" s="87"/>
      <c r="V29" s="87"/>
      <c r="W29" s="45"/>
      <c r="X29" s="87"/>
      <c r="Y29" s="87"/>
      <c r="Z29" s="87"/>
      <c r="AA29" s="87"/>
      <c r="AB29" s="45"/>
      <c r="AC29" s="87"/>
      <c r="AD29" s="87"/>
      <c r="AE29" s="87"/>
      <c r="AF29" s="87"/>
      <c r="AG29" s="25"/>
      <c r="AH29" s="25"/>
      <c r="AI29" s="54"/>
      <c r="AJ29" s="86"/>
      <c r="AK29" s="12"/>
      <c r="AL29" s="9"/>
    </row>
    <row r="30" spans="1:38" ht="18" customHeight="1">
      <c r="A30" s="165"/>
      <c r="B30" s="6" t="s">
        <v>14</v>
      </c>
      <c r="C30" s="17">
        <v>0</v>
      </c>
      <c r="D30" s="19"/>
      <c r="E30" s="47"/>
      <c r="F30" s="11"/>
      <c r="G30" s="11"/>
      <c r="H30" s="17">
        <v>0</v>
      </c>
      <c r="I30" s="19"/>
      <c r="J30" s="33"/>
      <c r="K30" s="12"/>
      <c r="L30" s="9"/>
      <c r="M30" s="45">
        <v>20</v>
      </c>
      <c r="N30" s="87"/>
      <c r="O30" s="87"/>
      <c r="P30" s="87"/>
      <c r="Q30" s="87"/>
      <c r="R30" s="45">
        <v>37</v>
      </c>
      <c r="S30" s="87"/>
      <c r="T30" s="87"/>
      <c r="U30" s="87"/>
      <c r="V30" s="87"/>
      <c r="W30" s="45">
        <v>40</v>
      </c>
      <c r="X30" s="87"/>
      <c r="Y30" s="87"/>
      <c r="Z30" s="87"/>
      <c r="AA30" s="87"/>
      <c r="AB30" s="45">
        <v>33</v>
      </c>
      <c r="AC30" s="87"/>
      <c r="AD30" s="87"/>
      <c r="AE30" s="87"/>
      <c r="AF30" s="87"/>
      <c r="AG30" s="25">
        <v>24</v>
      </c>
      <c r="AH30" s="25"/>
      <c r="AI30" s="54"/>
      <c r="AJ30" s="86"/>
      <c r="AK30" s="12"/>
      <c r="AL30" s="9"/>
    </row>
    <row r="31" spans="1:38" ht="18" customHeight="1">
      <c r="A31" s="165"/>
      <c r="B31" s="6" t="s">
        <v>15</v>
      </c>
      <c r="C31" s="17">
        <v>2</v>
      </c>
      <c r="D31" s="19"/>
      <c r="E31" s="47"/>
      <c r="F31" s="11"/>
      <c r="G31" s="11"/>
      <c r="H31" s="17">
        <v>2</v>
      </c>
      <c r="I31" s="19"/>
      <c r="J31" s="33"/>
      <c r="K31" s="12"/>
      <c r="L31" s="9"/>
      <c r="M31" s="45">
        <v>14</v>
      </c>
      <c r="N31" s="87"/>
      <c r="O31" s="87"/>
      <c r="P31" s="87"/>
      <c r="Q31" s="87"/>
      <c r="R31" s="45">
        <v>29</v>
      </c>
      <c r="S31" s="87"/>
      <c r="T31" s="87"/>
      <c r="U31" s="87"/>
      <c r="V31" s="87"/>
      <c r="W31" s="45"/>
      <c r="X31" s="87"/>
      <c r="Y31" s="87"/>
      <c r="Z31" s="87"/>
      <c r="AA31" s="87"/>
      <c r="AB31" s="45"/>
      <c r="AC31" s="87"/>
      <c r="AD31" s="87"/>
      <c r="AE31" s="87"/>
      <c r="AF31" s="87"/>
      <c r="AG31" s="25"/>
      <c r="AH31" s="25"/>
      <c r="AI31" s="54"/>
      <c r="AJ31" s="86"/>
      <c r="AK31" s="12"/>
      <c r="AL31" s="134"/>
    </row>
    <row r="32" spans="1:38" ht="18" customHeight="1">
      <c r="A32" s="165"/>
      <c r="B32" s="6" t="s">
        <v>16</v>
      </c>
      <c r="C32" s="17">
        <v>0</v>
      </c>
      <c r="D32" s="19"/>
      <c r="E32" s="47"/>
      <c r="F32" s="11"/>
      <c r="G32" s="11"/>
      <c r="H32" s="17">
        <v>0</v>
      </c>
      <c r="I32" s="19"/>
      <c r="J32" s="33"/>
      <c r="K32" s="12"/>
      <c r="L32" s="9"/>
      <c r="M32" s="45">
        <v>10</v>
      </c>
      <c r="N32" s="87"/>
      <c r="O32" s="87"/>
      <c r="P32" s="87"/>
      <c r="Q32" s="87"/>
      <c r="R32" s="45">
        <v>21</v>
      </c>
      <c r="S32" s="87"/>
      <c r="T32" s="87"/>
      <c r="U32" s="87"/>
      <c r="V32" s="87"/>
      <c r="W32" s="45">
        <v>25</v>
      </c>
      <c r="X32" s="87"/>
      <c r="Y32" s="87"/>
      <c r="Z32" s="87"/>
      <c r="AA32" s="87"/>
      <c r="AB32" s="45">
        <v>18</v>
      </c>
      <c r="AC32" s="87"/>
      <c r="AD32" s="87"/>
      <c r="AE32" s="87"/>
      <c r="AF32" s="87"/>
      <c r="AG32" s="25">
        <v>16</v>
      </c>
      <c r="AH32" s="25"/>
      <c r="AI32" s="54"/>
      <c r="AJ32" s="86"/>
      <c r="AK32" s="12"/>
      <c r="AL32" s="9"/>
    </row>
    <row r="33" spans="1:38" ht="18" customHeight="1">
      <c r="A33" s="165"/>
      <c r="B33" s="6" t="s">
        <v>17</v>
      </c>
      <c r="C33" s="17">
        <v>0</v>
      </c>
      <c r="D33" s="19"/>
      <c r="E33" s="47"/>
      <c r="F33" s="11"/>
      <c r="G33" s="11"/>
      <c r="H33" s="17">
        <v>0</v>
      </c>
      <c r="I33" s="19"/>
      <c r="J33" s="33"/>
      <c r="K33" s="12"/>
      <c r="L33" s="9"/>
      <c r="M33" s="45">
        <v>6</v>
      </c>
      <c r="N33" s="87"/>
      <c r="O33" s="87"/>
      <c r="P33" s="87"/>
      <c r="Q33" s="87"/>
      <c r="R33" s="45">
        <v>8</v>
      </c>
      <c r="S33" s="87"/>
      <c r="T33" s="87"/>
      <c r="U33" s="87"/>
      <c r="V33" s="87"/>
      <c r="W33" s="45"/>
      <c r="X33" s="87"/>
      <c r="Y33" s="87"/>
      <c r="Z33" s="87"/>
      <c r="AA33" s="87"/>
      <c r="AB33" s="45"/>
      <c r="AC33" s="87"/>
      <c r="AD33" s="87"/>
      <c r="AE33" s="87"/>
      <c r="AF33" s="87"/>
      <c r="AG33" s="25"/>
      <c r="AH33" s="25"/>
      <c r="AI33" s="54"/>
      <c r="AJ33" s="86"/>
      <c r="AK33" s="12"/>
      <c r="AL33" s="9"/>
    </row>
    <row r="34" spans="1:38" ht="18" customHeight="1">
      <c r="A34" s="165"/>
      <c r="B34" s="6" t="s">
        <v>90</v>
      </c>
      <c r="C34" s="17"/>
      <c r="D34" s="19"/>
      <c r="E34" s="47"/>
      <c r="F34" s="11"/>
      <c r="G34" s="11"/>
      <c r="H34" s="17"/>
      <c r="I34" s="19"/>
      <c r="J34" s="33"/>
      <c r="K34" s="12"/>
      <c r="L34" s="9"/>
      <c r="M34" s="45"/>
      <c r="N34" s="87"/>
      <c r="O34" s="87"/>
      <c r="P34" s="87"/>
      <c r="Q34" s="87"/>
      <c r="R34" s="45"/>
      <c r="S34" s="87"/>
      <c r="T34" s="87"/>
      <c r="U34" s="87"/>
      <c r="V34" s="87"/>
      <c r="W34" s="45">
        <v>141</v>
      </c>
      <c r="X34" s="87"/>
      <c r="Y34" s="87"/>
      <c r="Z34" s="87"/>
      <c r="AA34" s="87"/>
      <c r="AB34" s="45">
        <v>106</v>
      </c>
      <c r="AC34" s="87"/>
      <c r="AD34" s="87"/>
      <c r="AE34" s="87"/>
      <c r="AF34" s="87"/>
      <c r="AG34" s="25">
        <v>100</v>
      </c>
      <c r="AH34" s="25"/>
      <c r="AI34" s="54"/>
      <c r="AJ34" s="86"/>
      <c r="AK34" s="12"/>
      <c r="AL34" s="9"/>
    </row>
    <row r="35" spans="1:38" ht="18" customHeight="1">
      <c r="A35" s="165"/>
      <c r="B35" s="6" t="s">
        <v>18</v>
      </c>
      <c r="C35" s="17">
        <v>5</v>
      </c>
      <c r="D35" s="19"/>
      <c r="E35" s="47"/>
      <c r="F35" s="11"/>
      <c r="G35" s="11"/>
      <c r="H35" s="17">
        <v>5</v>
      </c>
      <c r="I35" s="19"/>
      <c r="J35" s="33"/>
      <c r="K35" s="12"/>
      <c r="L35" s="9"/>
      <c r="M35" s="45">
        <v>29</v>
      </c>
      <c r="N35" s="87"/>
      <c r="O35" s="87"/>
      <c r="P35" s="87"/>
      <c r="Q35" s="87"/>
      <c r="R35" s="45">
        <v>67</v>
      </c>
      <c r="S35" s="87"/>
      <c r="T35" s="87"/>
      <c r="U35" s="87"/>
      <c r="V35" s="87"/>
      <c r="W35" s="45">
        <v>79</v>
      </c>
      <c r="X35" s="87"/>
      <c r="Y35" s="87"/>
      <c r="Z35" s="87"/>
      <c r="AA35" s="87"/>
      <c r="AB35" s="45">
        <v>69</v>
      </c>
      <c r="AC35" s="87"/>
      <c r="AD35" s="87"/>
      <c r="AE35" s="87"/>
      <c r="AF35" s="87"/>
      <c r="AG35" s="25">
        <v>66</v>
      </c>
      <c r="AH35" s="25"/>
      <c r="AI35" s="54"/>
      <c r="AJ35" s="86"/>
      <c r="AK35" s="12"/>
      <c r="AL35" s="9"/>
    </row>
    <row r="36" spans="1:38" ht="18" customHeight="1">
      <c r="A36" s="165"/>
      <c r="B36" s="69" t="s">
        <v>19</v>
      </c>
      <c r="C36" s="44">
        <f>SUM(C26:C35)</f>
        <v>24</v>
      </c>
      <c r="D36" s="20"/>
      <c r="E36" s="48" t="s">
        <v>71</v>
      </c>
      <c r="F36" s="4"/>
      <c r="G36" s="4"/>
      <c r="H36" s="44">
        <f>H26+H27+H28+H29+H30+H31+H32+H33+H35</f>
        <v>17</v>
      </c>
      <c r="I36" s="20"/>
      <c r="J36" s="53" t="s">
        <v>71</v>
      </c>
      <c r="K36" s="2"/>
      <c r="L36" s="3"/>
      <c r="M36" s="44">
        <f>SUM(M26:M35)</f>
        <v>200</v>
      </c>
      <c r="N36" s="3"/>
      <c r="O36" s="53"/>
      <c r="P36" s="3"/>
      <c r="Q36" s="3"/>
      <c r="R36" s="44">
        <f>SUM(R26:R35)</f>
        <v>350</v>
      </c>
      <c r="S36" s="3"/>
      <c r="T36" s="53"/>
      <c r="U36" s="3"/>
      <c r="V36" s="3"/>
      <c r="W36" s="44">
        <f>SUM(W26:W35)</f>
        <v>412</v>
      </c>
      <c r="X36" s="3"/>
      <c r="Y36" s="53"/>
      <c r="Z36" s="3"/>
      <c r="AA36" s="3"/>
      <c r="AB36" s="44">
        <f>SUM(AB26:AB35)</f>
        <v>310</v>
      </c>
      <c r="AC36" s="3"/>
      <c r="AD36" s="53"/>
      <c r="AE36" s="3"/>
      <c r="AF36" s="3"/>
      <c r="AG36" s="128">
        <f>SUM(AG26:AG35)</f>
        <v>289</v>
      </c>
      <c r="AH36" s="128"/>
      <c r="AI36" s="20"/>
      <c r="AJ36" s="48"/>
      <c r="AK36" s="2"/>
      <c r="AL36" s="3"/>
    </row>
    <row r="37" spans="1:38" ht="18" customHeight="1">
      <c r="A37" s="165" t="s">
        <v>77</v>
      </c>
      <c r="B37" s="6" t="s">
        <v>10</v>
      </c>
      <c r="C37" s="17">
        <v>8</v>
      </c>
      <c r="D37" s="19"/>
      <c r="E37" s="50"/>
      <c r="F37" s="11"/>
      <c r="G37" s="11"/>
      <c r="H37" s="17">
        <v>7</v>
      </c>
      <c r="I37" s="19"/>
      <c r="J37" s="21"/>
      <c r="K37" s="12"/>
      <c r="L37" s="9"/>
      <c r="M37" s="45">
        <v>11</v>
      </c>
      <c r="N37" s="87"/>
      <c r="O37" s="87"/>
      <c r="P37" s="87"/>
      <c r="Q37" s="87"/>
      <c r="R37" s="45">
        <v>8</v>
      </c>
      <c r="S37" s="87"/>
      <c r="T37" s="87"/>
      <c r="U37" s="87"/>
      <c r="V37" s="87"/>
      <c r="W37" s="45"/>
      <c r="X37" s="87"/>
      <c r="Y37" s="87"/>
      <c r="Z37" s="87"/>
      <c r="AA37" s="87"/>
      <c r="AB37" s="45"/>
      <c r="AC37" s="87"/>
      <c r="AD37" s="87"/>
      <c r="AE37" s="87"/>
      <c r="AF37" s="87"/>
      <c r="AG37" s="25"/>
      <c r="AH37" s="25"/>
      <c r="AI37" s="54"/>
      <c r="AJ37" s="66"/>
      <c r="AK37" s="12"/>
      <c r="AL37" s="9"/>
    </row>
    <row r="38" spans="1:38" ht="18" customHeight="1">
      <c r="A38" s="165"/>
      <c r="B38" s="6" t="s">
        <v>11</v>
      </c>
      <c r="C38" s="17">
        <v>2</v>
      </c>
      <c r="D38" s="19"/>
      <c r="E38" s="50"/>
      <c r="F38" s="11"/>
      <c r="G38" s="11"/>
      <c r="H38" s="17">
        <v>1</v>
      </c>
      <c r="I38" s="19"/>
      <c r="J38" s="21"/>
      <c r="K38" s="12"/>
      <c r="L38" s="9"/>
      <c r="M38" s="45">
        <v>13</v>
      </c>
      <c r="N38" s="87"/>
      <c r="O38" s="87"/>
      <c r="P38" s="87"/>
      <c r="Q38" s="87"/>
      <c r="R38" s="45">
        <v>16</v>
      </c>
      <c r="S38" s="87"/>
      <c r="T38" s="87"/>
      <c r="U38" s="87"/>
      <c r="V38" s="87"/>
      <c r="W38" s="45">
        <v>20</v>
      </c>
      <c r="X38" s="87"/>
      <c r="Y38" s="87"/>
      <c r="Z38" s="87"/>
      <c r="AA38" s="87"/>
      <c r="AB38" s="45"/>
      <c r="AC38" s="87"/>
      <c r="AD38" s="87"/>
      <c r="AE38" s="87"/>
      <c r="AF38" s="87"/>
      <c r="AG38" s="25"/>
      <c r="AH38" s="25"/>
      <c r="AI38" s="54"/>
      <c r="AJ38" s="66"/>
      <c r="AK38" s="12"/>
      <c r="AL38" s="9"/>
    </row>
    <row r="39" spans="1:38" ht="18" customHeight="1">
      <c r="A39" s="165"/>
      <c r="B39" s="6" t="s">
        <v>12</v>
      </c>
      <c r="C39" s="17">
        <v>4</v>
      </c>
      <c r="D39" s="19"/>
      <c r="E39" s="50"/>
      <c r="F39" s="11"/>
      <c r="G39" s="11"/>
      <c r="H39" s="17"/>
      <c r="I39" s="19"/>
      <c r="J39" s="21"/>
      <c r="K39" s="13"/>
      <c r="L39" s="9"/>
      <c r="M39" s="45">
        <v>0</v>
      </c>
      <c r="N39" s="87"/>
      <c r="O39" s="87"/>
      <c r="P39" s="87"/>
      <c r="Q39" s="87"/>
      <c r="R39" s="45">
        <v>0</v>
      </c>
      <c r="S39" s="87"/>
      <c r="T39" s="87"/>
      <c r="U39" s="87"/>
      <c r="V39" s="87"/>
      <c r="W39" s="45"/>
      <c r="X39" s="87"/>
      <c r="Y39" s="87"/>
      <c r="Z39" s="87"/>
      <c r="AA39" s="87"/>
      <c r="AB39" s="45"/>
      <c r="AC39" s="87"/>
      <c r="AD39" s="87"/>
      <c r="AE39" s="87"/>
      <c r="AF39" s="87"/>
      <c r="AG39" s="25"/>
      <c r="AH39" s="25"/>
      <c r="AI39" s="54"/>
      <c r="AJ39" s="66"/>
      <c r="AK39" s="13"/>
      <c r="AL39" s="9"/>
    </row>
    <row r="40" spans="1:38" ht="18" customHeight="1">
      <c r="A40" s="165"/>
      <c r="B40" s="6" t="s">
        <v>13</v>
      </c>
      <c r="C40" s="17">
        <v>9</v>
      </c>
      <c r="D40" s="19"/>
      <c r="E40" s="50"/>
      <c r="F40" s="11"/>
      <c r="G40" s="11"/>
      <c r="H40" s="17">
        <v>9</v>
      </c>
      <c r="I40" s="19"/>
      <c r="J40" s="21"/>
      <c r="K40" s="12"/>
      <c r="L40" s="9"/>
      <c r="M40" s="45">
        <v>6</v>
      </c>
      <c r="N40" s="87"/>
      <c r="O40" s="87"/>
      <c r="P40" s="87"/>
      <c r="Q40" s="87"/>
      <c r="R40" s="45">
        <v>6</v>
      </c>
      <c r="S40" s="87"/>
      <c r="T40" s="87"/>
      <c r="U40" s="87"/>
      <c r="V40" s="87"/>
      <c r="W40" s="45"/>
      <c r="X40" s="87"/>
      <c r="Y40" s="87"/>
      <c r="Z40" s="87"/>
      <c r="AA40" s="87"/>
      <c r="AB40" s="45"/>
      <c r="AC40" s="87"/>
      <c r="AD40" s="87"/>
      <c r="AE40" s="87"/>
      <c r="AF40" s="87"/>
      <c r="AG40" s="25"/>
      <c r="AH40" s="25"/>
      <c r="AI40" s="54"/>
      <c r="AJ40" s="66"/>
      <c r="AK40" s="12"/>
      <c r="AL40" s="9"/>
    </row>
    <row r="41" spans="1:38" ht="18" customHeight="1">
      <c r="A41" s="165"/>
      <c r="B41" s="6" t="s">
        <v>14</v>
      </c>
      <c r="C41" s="17"/>
      <c r="D41" s="19"/>
      <c r="E41" s="50"/>
      <c r="F41" s="11"/>
      <c r="G41" s="11"/>
      <c r="H41" s="17"/>
      <c r="I41" s="19"/>
      <c r="J41" s="21"/>
      <c r="K41" s="12"/>
      <c r="L41" s="9"/>
      <c r="M41" s="45">
        <v>3</v>
      </c>
      <c r="N41" s="87"/>
      <c r="O41" s="87"/>
      <c r="P41" s="87"/>
      <c r="Q41" s="87"/>
      <c r="R41" s="45">
        <v>3</v>
      </c>
      <c r="S41" s="87"/>
      <c r="T41" s="87"/>
      <c r="U41" s="87"/>
      <c r="V41" s="87"/>
      <c r="W41" s="45"/>
      <c r="X41" s="87"/>
      <c r="Y41" s="87"/>
      <c r="Z41" s="87"/>
      <c r="AA41" s="87"/>
      <c r="AB41" s="45"/>
      <c r="AC41" s="87"/>
      <c r="AD41" s="87"/>
      <c r="AE41" s="87"/>
      <c r="AF41" s="87"/>
      <c r="AG41" s="25"/>
      <c r="AH41" s="25"/>
      <c r="AI41" s="54"/>
      <c r="AJ41" s="66"/>
      <c r="AK41" s="12"/>
      <c r="AL41" s="9"/>
    </row>
    <row r="42" spans="1:38" ht="18" customHeight="1">
      <c r="A42" s="165"/>
      <c r="B42" s="6" t="s">
        <v>15</v>
      </c>
      <c r="C42" s="17">
        <v>3</v>
      </c>
      <c r="D42" s="19"/>
      <c r="E42" s="50"/>
      <c r="F42" s="11"/>
      <c r="G42" s="11"/>
      <c r="H42" s="17">
        <v>3</v>
      </c>
      <c r="I42" s="19"/>
      <c r="J42" s="21"/>
      <c r="K42" s="12"/>
      <c r="L42" s="9"/>
      <c r="M42" s="45">
        <v>4</v>
      </c>
      <c r="N42" s="87"/>
      <c r="O42" s="87"/>
      <c r="P42" s="87"/>
      <c r="Q42" s="87"/>
      <c r="R42" s="45">
        <v>3</v>
      </c>
      <c r="S42" s="87"/>
      <c r="T42" s="87"/>
      <c r="U42" s="87"/>
      <c r="V42" s="87"/>
      <c r="W42" s="45"/>
      <c r="X42" s="87"/>
      <c r="Y42" s="87"/>
      <c r="Z42" s="87"/>
      <c r="AA42" s="87"/>
      <c r="AB42" s="45"/>
      <c r="AC42" s="87"/>
      <c r="AD42" s="87"/>
      <c r="AE42" s="87"/>
      <c r="AF42" s="87"/>
      <c r="AG42" s="25"/>
      <c r="AH42" s="25"/>
      <c r="AI42" s="54"/>
      <c r="AJ42" s="66"/>
      <c r="AK42" s="12"/>
      <c r="AL42" s="9"/>
    </row>
    <row r="43" spans="1:38" ht="18" customHeight="1">
      <c r="A43" s="165"/>
      <c r="B43" s="6" t="s">
        <v>16</v>
      </c>
      <c r="C43" s="17"/>
      <c r="D43" s="19"/>
      <c r="E43" s="50"/>
      <c r="F43" s="11"/>
      <c r="G43" s="11"/>
      <c r="H43" s="17">
        <v>2</v>
      </c>
      <c r="I43" s="19"/>
      <c r="J43" s="21"/>
      <c r="K43" s="12"/>
      <c r="L43" s="9"/>
      <c r="M43" s="45">
        <v>2</v>
      </c>
      <c r="N43" s="87"/>
      <c r="O43" s="87"/>
      <c r="P43" s="87"/>
      <c r="Q43" s="87"/>
      <c r="R43" s="45">
        <v>2</v>
      </c>
      <c r="S43" s="87"/>
      <c r="T43" s="87"/>
      <c r="U43" s="87"/>
      <c r="V43" s="87"/>
      <c r="W43" s="45"/>
      <c r="X43" s="87"/>
      <c r="Y43" s="87"/>
      <c r="Z43" s="87"/>
      <c r="AA43" s="87"/>
      <c r="AB43" s="45"/>
      <c r="AC43" s="87"/>
      <c r="AD43" s="87"/>
      <c r="AE43" s="87"/>
      <c r="AF43" s="87"/>
      <c r="AG43" s="25"/>
      <c r="AH43" s="25"/>
      <c r="AI43" s="54"/>
      <c r="AJ43" s="66"/>
      <c r="AK43" s="12"/>
      <c r="AL43" s="9"/>
    </row>
    <row r="44" spans="1:38" ht="18" customHeight="1">
      <c r="A44" s="165"/>
      <c r="B44" s="6" t="s">
        <v>17</v>
      </c>
      <c r="C44" s="17"/>
      <c r="D44" s="19"/>
      <c r="E44" s="50"/>
      <c r="F44" s="11"/>
      <c r="G44" s="11"/>
      <c r="H44" s="17">
        <v>2</v>
      </c>
      <c r="I44" s="19"/>
      <c r="J44" s="21"/>
      <c r="K44" s="12"/>
      <c r="L44" s="9"/>
      <c r="M44" s="45">
        <v>2</v>
      </c>
      <c r="N44" s="87"/>
      <c r="O44" s="87"/>
      <c r="P44" s="87"/>
      <c r="Q44" s="87"/>
      <c r="R44" s="45">
        <v>2</v>
      </c>
      <c r="S44" s="87"/>
      <c r="T44" s="87"/>
      <c r="U44" s="87"/>
      <c r="V44" s="87"/>
      <c r="W44" s="45"/>
      <c r="X44" s="87"/>
      <c r="Y44" s="87"/>
      <c r="Z44" s="87"/>
      <c r="AA44" s="87"/>
      <c r="AB44" s="45"/>
      <c r="AC44" s="87"/>
      <c r="AD44" s="87"/>
      <c r="AE44" s="87"/>
      <c r="AF44" s="87"/>
      <c r="AG44" s="25"/>
      <c r="AH44" s="25"/>
      <c r="AI44" s="54"/>
      <c r="AJ44" s="66"/>
      <c r="AK44" s="12"/>
      <c r="AL44" s="9"/>
    </row>
    <row r="45" spans="1:38" ht="18" customHeight="1">
      <c r="A45" s="165"/>
      <c r="B45" s="6" t="s">
        <v>90</v>
      </c>
      <c r="C45" s="17"/>
      <c r="D45" s="19"/>
      <c r="E45" s="50"/>
      <c r="F45" s="11"/>
      <c r="G45" s="11"/>
      <c r="H45" s="17"/>
      <c r="I45" s="19"/>
      <c r="J45" s="21"/>
      <c r="K45" s="12"/>
      <c r="L45" s="9"/>
      <c r="M45" s="45"/>
      <c r="N45" s="87"/>
      <c r="O45" s="87"/>
      <c r="P45" s="87"/>
      <c r="Q45" s="87"/>
      <c r="R45" s="45"/>
      <c r="S45" s="87"/>
      <c r="T45" s="87"/>
      <c r="U45" s="87"/>
      <c r="V45" s="87"/>
      <c r="W45" s="45">
        <v>9</v>
      </c>
      <c r="X45" s="87"/>
      <c r="Y45" s="87"/>
      <c r="Z45" s="87"/>
      <c r="AA45" s="87"/>
      <c r="AB45" s="45"/>
      <c r="AC45" s="87"/>
      <c r="AD45" s="87"/>
      <c r="AE45" s="87"/>
      <c r="AF45" s="87"/>
      <c r="AG45" s="25"/>
      <c r="AH45" s="25"/>
      <c r="AI45" s="54"/>
      <c r="AJ45" s="66"/>
      <c r="AK45" s="12"/>
      <c r="AL45" s="9"/>
    </row>
    <row r="46" spans="1:38" ht="18" customHeight="1">
      <c r="A46" s="165"/>
      <c r="B46" s="6" t="s">
        <v>18</v>
      </c>
      <c r="C46" s="17">
        <v>4</v>
      </c>
      <c r="D46" s="19"/>
      <c r="E46" s="50"/>
      <c r="F46" s="11"/>
      <c r="G46" s="11"/>
      <c r="H46" s="17">
        <v>7</v>
      </c>
      <c r="I46" s="19"/>
      <c r="J46" s="21"/>
      <c r="K46" s="12"/>
      <c r="L46" s="9"/>
      <c r="M46" s="45">
        <v>20</v>
      </c>
      <c r="N46" s="87"/>
      <c r="O46" s="87"/>
      <c r="P46" s="87"/>
      <c r="Q46" s="87"/>
      <c r="R46" s="45">
        <v>20</v>
      </c>
      <c r="S46" s="87"/>
      <c r="T46" s="87"/>
      <c r="U46" s="87"/>
      <c r="V46" s="87"/>
      <c r="W46" s="45">
        <v>21</v>
      </c>
      <c r="X46" s="87"/>
      <c r="Y46" s="87"/>
      <c r="Z46" s="87"/>
      <c r="AA46" s="87"/>
      <c r="AB46" s="45"/>
      <c r="AC46" s="87"/>
      <c r="AD46" s="87"/>
      <c r="AE46" s="87"/>
      <c r="AF46" s="87"/>
      <c r="AG46" s="25"/>
      <c r="AH46" s="25"/>
      <c r="AI46" s="54"/>
      <c r="AJ46" s="66"/>
      <c r="AK46" s="12"/>
      <c r="AL46" s="9"/>
    </row>
    <row r="47" spans="1:38" ht="18" customHeight="1">
      <c r="A47" s="165"/>
      <c r="B47" s="6" t="s">
        <v>66</v>
      </c>
      <c r="C47" s="17"/>
      <c r="D47" s="19"/>
      <c r="E47" s="50"/>
      <c r="F47" s="11"/>
      <c r="G47" s="11"/>
      <c r="H47" s="17">
        <v>4</v>
      </c>
      <c r="I47" s="19"/>
      <c r="J47" s="21"/>
      <c r="K47" s="12"/>
      <c r="L47" s="9"/>
      <c r="M47" s="45">
        <v>0</v>
      </c>
      <c r="N47" s="87"/>
      <c r="O47" s="87"/>
      <c r="P47" s="87"/>
      <c r="Q47" s="87"/>
      <c r="R47" s="45">
        <v>0</v>
      </c>
      <c r="S47" s="87"/>
      <c r="T47" s="87"/>
      <c r="U47" s="87"/>
      <c r="V47" s="87"/>
      <c r="W47" s="45"/>
      <c r="X47" s="87"/>
      <c r="Y47" s="87"/>
      <c r="Z47" s="87"/>
      <c r="AA47" s="87"/>
      <c r="AB47" s="45"/>
      <c r="AC47" s="87"/>
      <c r="AD47" s="87"/>
      <c r="AE47" s="87"/>
      <c r="AF47" s="87"/>
      <c r="AG47" s="87"/>
      <c r="AH47" s="87"/>
      <c r="AI47" s="87"/>
      <c r="AJ47" s="87"/>
      <c r="AK47" s="87"/>
      <c r="AL47" s="87"/>
    </row>
    <row r="48" spans="1:38" ht="18" customHeight="1">
      <c r="A48" s="165"/>
      <c r="B48" s="69" t="s">
        <v>19</v>
      </c>
      <c r="C48" s="18">
        <f>SUM(C37:C47)</f>
        <v>30</v>
      </c>
      <c r="D48" s="20">
        <v>2268.7</v>
      </c>
      <c r="E48" s="49"/>
      <c r="F48" s="5"/>
      <c r="G48" s="5"/>
      <c r="H48" s="18">
        <f>SUM(H37:H47)</f>
        <v>35</v>
      </c>
      <c r="I48" s="20">
        <v>2677.32</v>
      </c>
      <c r="J48" s="40"/>
      <c r="K48" s="2"/>
      <c r="L48" s="3"/>
      <c r="M48" s="44">
        <f>SUM(M37:M47)</f>
        <v>61</v>
      </c>
      <c r="N48" s="3">
        <f>126561.38/61</f>
        <v>2074.7767213114753</v>
      </c>
      <c r="O48" s="3"/>
      <c r="P48" s="3"/>
      <c r="Q48" s="3"/>
      <c r="R48" s="44">
        <f>SUM(R37:R47)</f>
        <v>60</v>
      </c>
      <c r="S48" s="3">
        <f>153529.72/60</f>
        <v>2558.828666666667</v>
      </c>
      <c r="T48" s="3"/>
      <c r="U48" s="3"/>
      <c r="V48" s="3"/>
      <c r="W48" s="44">
        <f>SUM(W37:W47)</f>
        <v>50</v>
      </c>
      <c r="X48" s="3">
        <f>147897.64/50</f>
        <v>2957.9528000000005</v>
      </c>
      <c r="Y48" s="3"/>
      <c r="Z48" s="3"/>
      <c r="AA48" s="3"/>
      <c r="AB48" s="44"/>
      <c r="AC48" s="3"/>
      <c r="AD48" s="3"/>
      <c r="AE48" s="3"/>
      <c r="AF48" s="3"/>
      <c r="AG48" s="128"/>
      <c r="AH48" s="128"/>
      <c r="AI48" s="20"/>
      <c r="AJ48" s="49"/>
      <c r="AK48" s="2"/>
      <c r="AL48" s="3"/>
    </row>
    <row r="49" spans="1:38" ht="18" customHeight="1">
      <c r="A49" s="164" t="s">
        <v>67</v>
      </c>
      <c r="B49" s="6" t="s">
        <v>10</v>
      </c>
      <c r="C49" s="17"/>
      <c r="D49" s="19"/>
      <c r="E49" s="50"/>
      <c r="F49" s="11"/>
      <c r="G49" s="11"/>
      <c r="H49" s="17"/>
      <c r="I49" s="17"/>
      <c r="J49" s="21"/>
      <c r="K49" s="12"/>
      <c r="L49" s="9"/>
      <c r="M49" s="45"/>
      <c r="N49" s="87"/>
      <c r="O49" s="87"/>
      <c r="P49" s="87"/>
      <c r="Q49" s="87"/>
      <c r="R49" s="45"/>
      <c r="S49" s="87"/>
      <c r="T49" s="87"/>
      <c r="U49" s="87"/>
      <c r="V49" s="87"/>
      <c r="W49" s="45"/>
      <c r="X49" s="87"/>
      <c r="Y49" s="87"/>
      <c r="Z49" s="87"/>
      <c r="AA49" s="87"/>
      <c r="AB49" s="45"/>
      <c r="AC49" s="87"/>
      <c r="AD49" s="87"/>
      <c r="AE49" s="87"/>
      <c r="AF49" s="87"/>
      <c r="AG49" s="25"/>
      <c r="AH49" s="25"/>
      <c r="AI49" s="54"/>
      <c r="AJ49" s="66"/>
      <c r="AK49" s="12"/>
      <c r="AL49" s="9"/>
    </row>
    <row r="50" spans="1:38" ht="18" customHeight="1">
      <c r="A50" s="164"/>
      <c r="B50" s="6" t="s">
        <v>11</v>
      </c>
      <c r="C50" s="17"/>
      <c r="D50" s="19"/>
      <c r="E50" s="50"/>
      <c r="F50" s="11"/>
      <c r="G50" s="11"/>
      <c r="H50" s="17"/>
      <c r="I50" s="17"/>
      <c r="J50" s="21"/>
      <c r="K50" s="12"/>
      <c r="L50" s="9"/>
      <c r="M50" s="45"/>
      <c r="N50" s="87"/>
      <c r="O50" s="87"/>
      <c r="P50" s="87"/>
      <c r="Q50" s="87"/>
      <c r="R50" s="81"/>
      <c r="S50" s="87"/>
      <c r="T50" s="87"/>
      <c r="U50" s="87"/>
      <c r="V50" s="87"/>
      <c r="W50" s="81"/>
      <c r="X50" s="87"/>
      <c r="Y50" s="87"/>
      <c r="Z50" s="87"/>
      <c r="AA50" s="87"/>
      <c r="AB50" s="81"/>
      <c r="AC50" s="87"/>
      <c r="AD50" s="87"/>
      <c r="AE50" s="87"/>
      <c r="AF50" s="87"/>
      <c r="AG50" s="25"/>
      <c r="AH50" s="25"/>
      <c r="AI50" s="54"/>
      <c r="AJ50" s="66"/>
      <c r="AK50" s="13"/>
      <c r="AL50" s="9"/>
    </row>
    <row r="51" spans="1:38" ht="18" customHeight="1">
      <c r="A51" s="164"/>
      <c r="B51" s="6" t="s">
        <v>12</v>
      </c>
      <c r="C51" s="17"/>
      <c r="D51" s="19"/>
      <c r="E51" s="50"/>
      <c r="F51" s="11"/>
      <c r="G51" s="11"/>
      <c r="H51" s="17"/>
      <c r="I51" s="17"/>
      <c r="J51" s="21"/>
      <c r="K51" s="13"/>
      <c r="L51" s="9"/>
      <c r="M51" s="45"/>
      <c r="N51" s="87"/>
      <c r="O51" s="87"/>
      <c r="P51" s="87"/>
      <c r="Q51" s="87"/>
      <c r="R51" s="81"/>
      <c r="S51" s="87"/>
      <c r="T51" s="87"/>
      <c r="U51" s="87"/>
      <c r="V51" s="87"/>
      <c r="W51" s="81"/>
      <c r="X51" s="87"/>
      <c r="Y51" s="87"/>
      <c r="Z51" s="87"/>
      <c r="AA51" s="87"/>
      <c r="AB51" s="81"/>
      <c r="AC51" s="87"/>
      <c r="AD51" s="87"/>
      <c r="AE51" s="87"/>
      <c r="AF51" s="87"/>
      <c r="AG51" s="25"/>
      <c r="AH51" s="25"/>
      <c r="AI51" s="54"/>
      <c r="AJ51" s="66"/>
      <c r="AK51" s="12"/>
      <c r="AL51" s="9"/>
    </row>
    <row r="52" spans="1:38" ht="18" customHeight="1">
      <c r="A52" s="164"/>
      <c r="B52" s="6" t="s">
        <v>13</v>
      </c>
      <c r="C52" s="17"/>
      <c r="D52" s="19"/>
      <c r="E52" s="50"/>
      <c r="F52" s="11"/>
      <c r="G52" s="11"/>
      <c r="H52" s="17"/>
      <c r="I52" s="17"/>
      <c r="J52" s="21"/>
      <c r="K52" s="12"/>
      <c r="L52" s="9"/>
      <c r="M52" s="45"/>
      <c r="N52" s="87"/>
      <c r="O52" s="87"/>
      <c r="P52" s="87"/>
      <c r="Q52" s="87"/>
      <c r="R52" s="45"/>
      <c r="S52" s="87"/>
      <c r="T52" s="87"/>
      <c r="U52" s="87"/>
      <c r="V52" s="87"/>
      <c r="W52" s="45"/>
      <c r="X52" s="87"/>
      <c r="Y52" s="87"/>
      <c r="Z52" s="87"/>
      <c r="AA52" s="87"/>
      <c r="AB52" s="45"/>
      <c r="AC52" s="87"/>
      <c r="AD52" s="87"/>
      <c r="AE52" s="87"/>
      <c r="AF52" s="87"/>
      <c r="AG52" s="25"/>
      <c r="AH52" s="25"/>
      <c r="AI52" s="54"/>
      <c r="AJ52" s="66"/>
      <c r="AK52" s="12"/>
      <c r="AL52" s="9"/>
    </row>
    <row r="53" spans="1:38" ht="18" customHeight="1">
      <c r="A53" s="164"/>
      <c r="B53" s="6" t="s">
        <v>14</v>
      </c>
      <c r="C53" s="17"/>
      <c r="D53" s="19"/>
      <c r="E53" s="50"/>
      <c r="F53" s="11"/>
      <c r="G53" s="11"/>
      <c r="H53" s="17"/>
      <c r="I53" s="17"/>
      <c r="J53" s="21"/>
      <c r="K53" s="12"/>
      <c r="L53" s="9"/>
      <c r="M53" s="45"/>
      <c r="N53" s="87"/>
      <c r="O53" s="87"/>
      <c r="P53" s="87"/>
      <c r="Q53" s="87"/>
      <c r="R53" s="45"/>
      <c r="S53" s="87"/>
      <c r="T53" s="87"/>
      <c r="U53" s="87"/>
      <c r="V53" s="87"/>
      <c r="W53" s="45"/>
      <c r="X53" s="87"/>
      <c r="Y53" s="87"/>
      <c r="Z53" s="87"/>
      <c r="AA53" s="87"/>
      <c r="AB53" s="45"/>
      <c r="AC53" s="87"/>
      <c r="AD53" s="87"/>
      <c r="AE53" s="87"/>
      <c r="AF53" s="87"/>
      <c r="AG53" s="25"/>
      <c r="AH53" s="25"/>
      <c r="AI53" s="54"/>
      <c r="AJ53" s="66"/>
      <c r="AK53" s="12"/>
      <c r="AL53" s="9"/>
    </row>
    <row r="54" spans="1:38" ht="18" customHeight="1">
      <c r="A54" s="164"/>
      <c r="B54" s="6" t="s">
        <v>15</v>
      </c>
      <c r="C54" s="17"/>
      <c r="D54" s="19"/>
      <c r="E54" s="50"/>
      <c r="F54" s="11"/>
      <c r="G54" s="11"/>
      <c r="H54" s="17"/>
      <c r="I54" s="17"/>
      <c r="J54" s="21"/>
      <c r="K54" s="12"/>
      <c r="L54" s="9"/>
      <c r="M54" s="45"/>
      <c r="N54" s="87"/>
      <c r="O54" s="87"/>
      <c r="P54" s="87"/>
      <c r="Q54" s="87"/>
      <c r="R54" s="45"/>
      <c r="S54" s="87"/>
      <c r="T54" s="87"/>
      <c r="U54" s="87"/>
      <c r="V54" s="87"/>
      <c r="W54" s="45"/>
      <c r="X54" s="87"/>
      <c r="Y54" s="87"/>
      <c r="Z54" s="87"/>
      <c r="AA54" s="87"/>
      <c r="AB54" s="45"/>
      <c r="AC54" s="87"/>
      <c r="AD54" s="87"/>
      <c r="AE54" s="87"/>
      <c r="AF54" s="87"/>
      <c r="AG54" s="25"/>
      <c r="AH54" s="25"/>
      <c r="AI54" s="54"/>
      <c r="AJ54" s="66"/>
      <c r="AK54" s="12"/>
      <c r="AL54" s="9"/>
    </row>
    <row r="55" spans="1:38" ht="18" customHeight="1">
      <c r="A55" s="164"/>
      <c r="B55" s="6" t="s">
        <v>16</v>
      </c>
      <c r="C55" s="17"/>
      <c r="D55" s="19"/>
      <c r="E55" s="50"/>
      <c r="F55" s="11"/>
      <c r="G55" s="11"/>
      <c r="H55" s="17"/>
      <c r="I55" s="17"/>
      <c r="J55" s="21"/>
      <c r="K55" s="12"/>
      <c r="L55" s="9"/>
      <c r="M55" s="45"/>
      <c r="N55" s="87"/>
      <c r="O55" s="87"/>
      <c r="P55" s="87"/>
      <c r="Q55" s="87"/>
      <c r="R55" s="45"/>
      <c r="S55" s="87"/>
      <c r="T55" s="87"/>
      <c r="U55" s="87"/>
      <c r="V55" s="87"/>
      <c r="W55" s="45"/>
      <c r="X55" s="87"/>
      <c r="Y55" s="87"/>
      <c r="Z55" s="87"/>
      <c r="AA55" s="87"/>
      <c r="AB55" s="45"/>
      <c r="AC55" s="87"/>
      <c r="AD55" s="87"/>
      <c r="AE55" s="87"/>
      <c r="AF55" s="87"/>
      <c r="AG55" s="25"/>
      <c r="AH55" s="25"/>
      <c r="AI55" s="54"/>
      <c r="AJ55" s="66"/>
      <c r="AK55" s="12"/>
      <c r="AL55" s="9"/>
    </row>
    <row r="56" spans="1:38" ht="18" customHeight="1">
      <c r="A56" s="164"/>
      <c r="B56" s="6" t="s">
        <v>17</v>
      </c>
      <c r="C56" s="17"/>
      <c r="D56" s="19"/>
      <c r="E56" s="50"/>
      <c r="F56" s="11"/>
      <c r="G56" s="11"/>
      <c r="H56" s="17"/>
      <c r="I56" s="17"/>
      <c r="J56" s="21"/>
      <c r="K56" s="12"/>
      <c r="L56" s="9"/>
      <c r="M56" s="45"/>
      <c r="N56" s="87"/>
      <c r="O56" s="87"/>
      <c r="P56" s="87"/>
      <c r="Q56" s="87"/>
      <c r="R56" s="45"/>
      <c r="S56" s="87"/>
      <c r="T56" s="87"/>
      <c r="U56" s="87"/>
      <c r="V56" s="87"/>
      <c r="W56" s="45"/>
      <c r="X56" s="87"/>
      <c r="Y56" s="87"/>
      <c r="Z56" s="87"/>
      <c r="AA56" s="87"/>
      <c r="AB56" s="45"/>
      <c r="AC56" s="87"/>
      <c r="AD56" s="87"/>
      <c r="AE56" s="87"/>
      <c r="AF56" s="87"/>
      <c r="AG56" s="25"/>
      <c r="AH56" s="25"/>
      <c r="AI56" s="54"/>
      <c r="AJ56" s="66"/>
      <c r="AK56" s="12"/>
      <c r="AL56" s="9"/>
    </row>
    <row r="57" spans="1:38" ht="18" customHeight="1">
      <c r="A57" s="164"/>
      <c r="B57" s="6" t="s">
        <v>18</v>
      </c>
      <c r="C57" s="17"/>
      <c r="D57" s="19"/>
      <c r="E57" s="50"/>
      <c r="F57" s="11"/>
      <c r="G57" s="11"/>
      <c r="H57" s="17"/>
      <c r="I57" s="17"/>
      <c r="J57" s="21"/>
      <c r="K57" s="12"/>
      <c r="L57" s="9"/>
      <c r="M57" s="45"/>
      <c r="N57" s="87"/>
      <c r="O57" s="87"/>
      <c r="P57" s="87"/>
      <c r="Q57" s="87"/>
      <c r="R57" s="45"/>
      <c r="S57" s="87"/>
      <c r="T57" s="87"/>
      <c r="U57" s="87"/>
      <c r="V57" s="87"/>
      <c r="W57" s="45"/>
      <c r="X57" s="87"/>
      <c r="Y57" s="87"/>
      <c r="Z57" s="87"/>
      <c r="AA57" s="87"/>
      <c r="AB57" s="45"/>
      <c r="AC57" s="87"/>
      <c r="AD57" s="87"/>
      <c r="AE57" s="87"/>
      <c r="AF57" s="87"/>
      <c r="AG57" s="25"/>
      <c r="AH57" s="25"/>
      <c r="AI57" s="54"/>
      <c r="AJ57" s="66"/>
      <c r="AK57" s="12"/>
      <c r="AL57" s="9"/>
    </row>
    <row r="58" spans="1:38" ht="18" customHeight="1">
      <c r="A58" s="164"/>
      <c r="B58" s="6" t="s">
        <v>66</v>
      </c>
      <c r="C58" s="17"/>
      <c r="D58" s="19"/>
      <c r="E58" s="50"/>
      <c r="F58" s="11"/>
      <c r="G58" s="11"/>
      <c r="H58" s="17"/>
      <c r="I58" s="17"/>
      <c r="J58" s="21"/>
      <c r="K58" s="12"/>
      <c r="L58" s="9"/>
      <c r="M58" s="45"/>
      <c r="N58" s="87"/>
      <c r="O58" s="87"/>
      <c r="P58" s="87"/>
      <c r="Q58" s="87"/>
      <c r="R58" s="45"/>
      <c r="S58" s="87"/>
      <c r="T58" s="87"/>
      <c r="U58" s="87"/>
      <c r="V58" s="87"/>
      <c r="W58" s="45"/>
      <c r="X58" s="87"/>
      <c r="Y58" s="87"/>
      <c r="Z58" s="87"/>
      <c r="AA58" s="87"/>
      <c r="AB58" s="45"/>
      <c r="AC58" s="87"/>
      <c r="AD58" s="87"/>
      <c r="AE58" s="87"/>
      <c r="AF58" s="87"/>
      <c r="AG58" s="25"/>
      <c r="AH58" s="25"/>
      <c r="AI58" s="54"/>
      <c r="AJ58" s="66"/>
      <c r="AK58" s="12"/>
      <c r="AL58" s="9"/>
    </row>
    <row r="59" spans="1:38" ht="18" customHeight="1">
      <c r="A59" s="164"/>
      <c r="B59" s="69" t="s">
        <v>19</v>
      </c>
      <c r="C59" s="18"/>
      <c r="D59" s="20"/>
      <c r="E59" s="49"/>
      <c r="F59" s="5"/>
      <c r="G59" s="5"/>
      <c r="H59" s="18"/>
      <c r="I59" s="20"/>
      <c r="J59" s="40"/>
      <c r="K59" s="2"/>
      <c r="L59" s="3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128"/>
      <c r="AH59" s="128"/>
      <c r="AI59" s="20"/>
      <c r="AJ59" s="49"/>
      <c r="AK59" s="2"/>
      <c r="AL59" s="3"/>
    </row>
    <row r="60" spans="1:38" ht="18" customHeight="1">
      <c r="A60" s="164" t="s">
        <v>39</v>
      </c>
      <c r="B60" s="6" t="s">
        <v>10</v>
      </c>
      <c r="C60" s="17">
        <v>4</v>
      </c>
      <c r="D60" s="19">
        <f>18808/4</f>
        <v>4702</v>
      </c>
      <c r="E60" s="50"/>
      <c r="F60" s="11"/>
      <c r="G60" s="11"/>
      <c r="H60" s="17">
        <v>5</v>
      </c>
      <c r="I60" s="19">
        <f>23584/5</f>
        <v>4716.8</v>
      </c>
      <c r="J60" s="21"/>
      <c r="K60" s="19"/>
      <c r="L60" s="9"/>
      <c r="M60" s="45">
        <v>4</v>
      </c>
      <c r="N60" s="19">
        <f>19799.4/4</f>
        <v>4949.85</v>
      </c>
      <c r="O60" s="87"/>
      <c r="P60" s="87"/>
      <c r="Q60" s="87"/>
      <c r="R60" s="45">
        <v>4</v>
      </c>
      <c r="S60" s="19">
        <f>19073/4</f>
        <v>4768.25</v>
      </c>
      <c r="T60" s="87"/>
      <c r="U60" s="87"/>
      <c r="V60" s="87"/>
      <c r="W60" s="45"/>
      <c r="X60" s="19"/>
      <c r="Y60" s="87"/>
      <c r="Z60" s="87"/>
      <c r="AA60" s="87"/>
      <c r="AB60" s="45"/>
      <c r="AC60" s="19"/>
      <c r="AD60" s="87"/>
      <c r="AE60" s="87"/>
      <c r="AF60" s="87"/>
      <c r="AG60" s="25"/>
      <c r="AH60" s="25"/>
      <c r="AI60" s="54"/>
      <c r="AJ60" s="114"/>
      <c r="AK60" s="115"/>
      <c r="AL60" s="136"/>
    </row>
    <row r="61" spans="1:38" ht="18" customHeight="1">
      <c r="A61" s="164"/>
      <c r="B61" s="6" t="s">
        <v>11</v>
      </c>
      <c r="C61" s="17">
        <v>10</v>
      </c>
      <c r="D61" s="19">
        <f>51767.92/10</f>
        <v>5176.7919999999995</v>
      </c>
      <c r="E61" s="50"/>
      <c r="F61" s="11"/>
      <c r="G61" s="11"/>
      <c r="H61" s="17">
        <v>11</v>
      </c>
      <c r="I61" s="19">
        <f>47192.39/11</f>
        <v>4290.217272727273</v>
      </c>
      <c r="J61" s="21"/>
      <c r="K61" s="19"/>
      <c r="L61" s="9"/>
      <c r="M61" s="45">
        <v>10</v>
      </c>
      <c r="N61" s="19">
        <f>56089.8/10</f>
        <v>5608.9800000000005</v>
      </c>
      <c r="O61" s="87"/>
      <c r="P61" s="87"/>
      <c r="Q61" s="87"/>
      <c r="R61" s="45">
        <v>10</v>
      </c>
      <c r="S61" s="19">
        <f>49712.43/10</f>
        <v>4971.243</v>
      </c>
      <c r="T61" s="87"/>
      <c r="U61" s="87"/>
      <c r="V61" s="87"/>
      <c r="W61" s="45">
        <v>11</v>
      </c>
      <c r="X61" s="19">
        <f>49702.2/11</f>
        <v>4518.381818181818</v>
      </c>
      <c r="Y61" s="87"/>
      <c r="Z61" s="87"/>
      <c r="AA61" s="87"/>
      <c r="AB61" s="45">
        <v>10</v>
      </c>
      <c r="AC61" s="19">
        <f>54315.96/10</f>
        <v>5431.596</v>
      </c>
      <c r="AD61" s="87"/>
      <c r="AE61" s="87"/>
      <c r="AF61" s="87"/>
      <c r="AG61" s="25">
        <v>13</v>
      </c>
      <c r="AH61" s="25"/>
      <c r="AI61" s="54">
        <f>52192/AG61</f>
        <v>4014.769230769231</v>
      </c>
      <c r="AJ61" s="114"/>
      <c r="AK61" s="115"/>
      <c r="AL61" s="136"/>
    </row>
    <row r="62" spans="1:38" ht="18" customHeight="1">
      <c r="A62" s="164"/>
      <c r="B62" s="6" t="s">
        <v>12</v>
      </c>
      <c r="C62" s="17"/>
      <c r="D62" s="19"/>
      <c r="E62" s="50"/>
      <c r="F62" s="11"/>
      <c r="G62" s="11"/>
      <c r="H62" s="17"/>
      <c r="I62" s="19"/>
      <c r="J62" s="21"/>
      <c r="K62" s="19"/>
      <c r="L62" s="9"/>
      <c r="M62" s="45"/>
      <c r="N62" s="19"/>
      <c r="O62" s="87"/>
      <c r="P62" s="87"/>
      <c r="Q62" s="87"/>
      <c r="R62" s="45"/>
      <c r="S62" s="19"/>
      <c r="T62" s="87"/>
      <c r="U62" s="87"/>
      <c r="V62" s="87"/>
      <c r="W62" s="45"/>
      <c r="X62" s="19"/>
      <c r="Y62" s="87"/>
      <c r="Z62" s="87"/>
      <c r="AA62" s="87"/>
      <c r="AB62" s="45"/>
      <c r="AC62" s="19"/>
      <c r="AD62" s="87"/>
      <c r="AE62" s="87"/>
      <c r="AF62" s="87"/>
      <c r="AG62" s="25"/>
      <c r="AH62" s="25"/>
      <c r="AI62" s="54"/>
      <c r="AJ62" s="114"/>
      <c r="AK62" s="115"/>
      <c r="AL62" s="136"/>
    </row>
    <row r="63" spans="1:38" ht="18" customHeight="1">
      <c r="A63" s="164"/>
      <c r="B63" s="6" t="s">
        <v>13</v>
      </c>
      <c r="C63" s="17"/>
      <c r="D63" s="19"/>
      <c r="E63" s="50"/>
      <c r="F63" s="11"/>
      <c r="G63" s="11"/>
      <c r="H63" s="17">
        <v>1</v>
      </c>
      <c r="I63" s="19">
        <v>1500</v>
      </c>
      <c r="J63" s="21"/>
      <c r="K63" s="19"/>
      <c r="L63" s="9"/>
      <c r="M63" s="45">
        <v>1</v>
      </c>
      <c r="N63" s="19">
        <v>2580</v>
      </c>
      <c r="O63" s="87"/>
      <c r="P63" s="87"/>
      <c r="Q63" s="87"/>
      <c r="R63" s="45">
        <v>1</v>
      </c>
      <c r="S63" s="19">
        <v>6192</v>
      </c>
      <c r="T63" s="87"/>
      <c r="U63" s="87"/>
      <c r="V63" s="87"/>
      <c r="W63" s="45"/>
      <c r="X63" s="19"/>
      <c r="Y63" s="87"/>
      <c r="Z63" s="87"/>
      <c r="AA63" s="87"/>
      <c r="AB63" s="45"/>
      <c r="AC63" s="19"/>
      <c r="AD63" s="87"/>
      <c r="AE63" s="87"/>
      <c r="AF63" s="87"/>
      <c r="AG63" s="25"/>
      <c r="AH63" s="25"/>
      <c r="AI63" s="54"/>
      <c r="AJ63" s="114"/>
      <c r="AK63" s="115"/>
      <c r="AL63" s="136"/>
    </row>
    <row r="64" spans="1:38" ht="18" customHeight="1">
      <c r="A64" s="164"/>
      <c r="B64" s="6" t="s">
        <v>14</v>
      </c>
      <c r="C64" s="17"/>
      <c r="D64" s="19"/>
      <c r="E64" s="50"/>
      <c r="F64" s="11"/>
      <c r="G64" s="11"/>
      <c r="H64" s="17"/>
      <c r="I64" s="19"/>
      <c r="J64" s="21"/>
      <c r="K64" s="19"/>
      <c r="L64" s="9"/>
      <c r="M64" s="45"/>
      <c r="N64" s="19"/>
      <c r="O64" s="87"/>
      <c r="P64" s="87"/>
      <c r="Q64" s="87"/>
      <c r="R64" s="45"/>
      <c r="S64" s="19"/>
      <c r="T64" s="87"/>
      <c r="U64" s="87"/>
      <c r="V64" s="87"/>
      <c r="W64" s="45"/>
      <c r="X64" s="19"/>
      <c r="Y64" s="87"/>
      <c r="Z64" s="87"/>
      <c r="AA64" s="87"/>
      <c r="AB64" s="45"/>
      <c r="AC64" s="19"/>
      <c r="AD64" s="87"/>
      <c r="AE64" s="87"/>
      <c r="AF64" s="87"/>
      <c r="AG64" s="25"/>
      <c r="AH64" s="25"/>
      <c r="AI64" s="54"/>
      <c r="AJ64" s="114"/>
      <c r="AK64" s="115"/>
      <c r="AL64" s="136"/>
    </row>
    <row r="65" spans="1:38" ht="18" customHeight="1">
      <c r="A65" s="164"/>
      <c r="B65" s="6" t="s">
        <v>15</v>
      </c>
      <c r="C65" s="17">
        <v>2</v>
      </c>
      <c r="D65" s="19">
        <f>15750/2</f>
        <v>7875</v>
      </c>
      <c r="E65" s="50"/>
      <c r="F65" s="11"/>
      <c r="G65" s="11"/>
      <c r="H65" s="17">
        <v>2</v>
      </c>
      <c r="I65" s="19">
        <f>17328/2</f>
        <v>8664</v>
      </c>
      <c r="J65" s="21"/>
      <c r="K65" s="19"/>
      <c r="L65" s="9"/>
      <c r="M65" s="45">
        <v>3</v>
      </c>
      <c r="N65" s="19">
        <f>12160/3</f>
        <v>4053.3333333333335</v>
      </c>
      <c r="O65" s="87"/>
      <c r="P65" s="87"/>
      <c r="Q65" s="87"/>
      <c r="R65" s="45">
        <v>2</v>
      </c>
      <c r="S65" s="19">
        <f>13214/2</f>
        <v>6607</v>
      </c>
      <c r="T65" s="87"/>
      <c r="U65" s="87"/>
      <c r="V65" s="87"/>
      <c r="W65" s="45"/>
      <c r="X65" s="19"/>
      <c r="Y65" s="87"/>
      <c r="Z65" s="87"/>
      <c r="AA65" s="87"/>
      <c r="AB65" s="45"/>
      <c r="AC65" s="19"/>
      <c r="AD65" s="87"/>
      <c r="AE65" s="87"/>
      <c r="AF65" s="87"/>
      <c r="AG65" s="25"/>
      <c r="AH65" s="25"/>
      <c r="AI65" s="54"/>
      <c r="AJ65" s="114"/>
      <c r="AK65" s="115"/>
      <c r="AL65" s="136"/>
    </row>
    <row r="66" spans="1:38" ht="18" customHeight="1">
      <c r="A66" s="164"/>
      <c r="B66" s="6" t="s">
        <v>16</v>
      </c>
      <c r="C66" s="17"/>
      <c r="D66" s="19"/>
      <c r="E66" s="50"/>
      <c r="F66" s="11"/>
      <c r="G66" s="11"/>
      <c r="H66" s="17"/>
      <c r="I66" s="19"/>
      <c r="J66" s="21"/>
      <c r="K66" s="19"/>
      <c r="L66" s="9"/>
      <c r="M66" s="45">
        <v>0</v>
      </c>
      <c r="N66" s="19"/>
      <c r="O66" s="87"/>
      <c r="P66" s="87"/>
      <c r="Q66" s="87"/>
      <c r="R66" s="45">
        <v>1</v>
      </c>
      <c r="S66" s="19">
        <v>516</v>
      </c>
      <c r="T66" s="87"/>
      <c r="U66" s="87"/>
      <c r="V66" s="87"/>
      <c r="W66" s="45">
        <v>1</v>
      </c>
      <c r="X66" s="19">
        <v>6192</v>
      </c>
      <c r="Y66" s="87"/>
      <c r="Z66" s="87"/>
      <c r="AA66" s="87"/>
      <c r="AB66" s="45"/>
      <c r="AC66" s="19"/>
      <c r="AD66" s="87"/>
      <c r="AE66" s="87"/>
      <c r="AF66" s="87"/>
      <c r="AG66" s="25"/>
      <c r="AH66" s="25"/>
      <c r="AI66" s="54"/>
      <c r="AJ66" s="114"/>
      <c r="AK66" s="115"/>
      <c r="AL66" s="136"/>
    </row>
    <row r="67" spans="1:38" ht="18" customHeight="1">
      <c r="A67" s="164"/>
      <c r="B67" s="6" t="s">
        <v>17</v>
      </c>
      <c r="C67" s="17"/>
      <c r="D67" s="19"/>
      <c r="E67" s="50"/>
      <c r="F67" s="11"/>
      <c r="G67" s="11"/>
      <c r="H67" s="17"/>
      <c r="I67" s="19"/>
      <c r="J67" s="21"/>
      <c r="K67" s="19"/>
      <c r="L67" s="9"/>
      <c r="M67" s="45">
        <v>0</v>
      </c>
      <c r="N67" s="19"/>
      <c r="O67" s="87"/>
      <c r="P67" s="87"/>
      <c r="Q67" s="87"/>
      <c r="R67" s="45"/>
      <c r="S67" s="19"/>
      <c r="T67" s="87"/>
      <c r="U67" s="87"/>
      <c r="V67" s="87"/>
      <c r="W67" s="45"/>
      <c r="X67" s="19"/>
      <c r="Y67" s="87"/>
      <c r="Z67" s="87"/>
      <c r="AA67" s="87"/>
      <c r="AB67" s="45"/>
      <c r="AC67" s="19"/>
      <c r="AD67" s="87"/>
      <c r="AE67" s="87"/>
      <c r="AF67" s="87"/>
      <c r="AG67" s="25"/>
      <c r="AH67" s="25"/>
      <c r="AI67" s="54"/>
      <c r="AJ67" s="114"/>
      <c r="AK67" s="115"/>
      <c r="AL67" s="136"/>
    </row>
    <row r="68" spans="1:38" ht="18" customHeight="1">
      <c r="A68" s="164"/>
      <c r="B68" s="6" t="s">
        <v>90</v>
      </c>
      <c r="C68" s="17"/>
      <c r="D68" s="19"/>
      <c r="E68" s="50"/>
      <c r="F68" s="11"/>
      <c r="G68" s="11"/>
      <c r="H68" s="17"/>
      <c r="I68" s="19"/>
      <c r="J68" s="21"/>
      <c r="K68" s="19"/>
      <c r="L68" s="9"/>
      <c r="M68" s="45"/>
      <c r="N68" s="19"/>
      <c r="O68" s="87"/>
      <c r="P68" s="87"/>
      <c r="Q68" s="87"/>
      <c r="R68" s="45"/>
      <c r="S68" s="19"/>
      <c r="T68" s="87"/>
      <c r="U68" s="87"/>
      <c r="V68" s="87"/>
      <c r="W68" s="45">
        <v>8</v>
      </c>
      <c r="X68" s="19">
        <f>45473/8</f>
        <v>5684.125</v>
      </c>
      <c r="Y68" s="87"/>
      <c r="Z68" s="87"/>
      <c r="AA68" s="87"/>
      <c r="AB68" s="45">
        <v>11</v>
      </c>
      <c r="AC68" s="19">
        <f>50290.4/11</f>
        <v>4571.854545454546</v>
      </c>
      <c r="AD68" s="87"/>
      <c r="AE68" s="87"/>
      <c r="AF68" s="87"/>
      <c r="AG68" s="25">
        <v>14</v>
      </c>
      <c r="AH68" s="25"/>
      <c r="AI68" s="54">
        <f>54855.57/AG68</f>
        <v>3918.255</v>
      </c>
      <c r="AJ68" s="114"/>
      <c r="AK68" s="115"/>
      <c r="AL68" s="136"/>
    </row>
    <row r="69" spans="1:38" ht="18" customHeight="1">
      <c r="A69" s="164"/>
      <c r="B69" s="6" t="s">
        <v>18</v>
      </c>
      <c r="C69" s="17">
        <v>4</v>
      </c>
      <c r="D69" s="19">
        <f>9016/4</f>
        <v>2254</v>
      </c>
      <c r="E69" s="50"/>
      <c r="F69" s="11"/>
      <c r="G69" s="11"/>
      <c r="H69" s="17">
        <v>8</v>
      </c>
      <c r="I69" s="19">
        <f>15183/8</f>
        <v>1897.875</v>
      </c>
      <c r="J69" s="21"/>
      <c r="K69" s="19"/>
      <c r="L69" s="9"/>
      <c r="M69" s="45">
        <v>9</v>
      </c>
      <c r="N69" s="19">
        <f>54942/9</f>
        <v>6104.666666666667</v>
      </c>
      <c r="O69" s="87"/>
      <c r="P69" s="87"/>
      <c r="Q69" s="87"/>
      <c r="R69" s="45">
        <v>7</v>
      </c>
      <c r="S69" s="19">
        <f>66676/7</f>
        <v>9525.142857142857</v>
      </c>
      <c r="T69" s="87"/>
      <c r="U69" s="87"/>
      <c r="V69" s="87"/>
      <c r="W69" s="45">
        <v>7</v>
      </c>
      <c r="X69" s="19">
        <f>63326/7</f>
        <v>9046.57142857143</v>
      </c>
      <c r="Y69" s="87"/>
      <c r="Z69" s="87"/>
      <c r="AA69" s="87"/>
      <c r="AB69" s="45">
        <v>7</v>
      </c>
      <c r="AC69" s="19">
        <f>45644/7</f>
        <v>6520.571428571428</v>
      </c>
      <c r="AD69" s="87"/>
      <c r="AE69" s="87"/>
      <c r="AF69" s="87"/>
      <c r="AG69" s="25">
        <v>5</v>
      </c>
      <c r="AH69" s="25"/>
      <c r="AI69" s="54">
        <f>29945.32/AG69</f>
        <v>5989.064</v>
      </c>
      <c r="AJ69" s="114"/>
      <c r="AK69" s="115"/>
      <c r="AL69" s="136"/>
    </row>
    <row r="70" spans="1:38" ht="18" customHeight="1">
      <c r="A70" s="164"/>
      <c r="B70" s="69" t="s">
        <v>19</v>
      </c>
      <c r="C70" s="18">
        <f>SUM(C60:C69)</f>
        <v>20</v>
      </c>
      <c r="D70" s="20">
        <v>4767.1</v>
      </c>
      <c r="E70" s="49"/>
      <c r="F70" s="5"/>
      <c r="G70" s="5"/>
      <c r="H70" s="18">
        <f>SUM(H60:H69)</f>
        <v>27</v>
      </c>
      <c r="I70" s="20">
        <v>3881.01</v>
      </c>
      <c r="J70" s="40"/>
      <c r="K70" s="2"/>
      <c r="L70" s="3"/>
      <c r="M70" s="44">
        <f>SUM(M60:M69)</f>
        <v>27</v>
      </c>
      <c r="N70" s="20">
        <f>145571.2/27</f>
        <v>5391.5259259259265</v>
      </c>
      <c r="O70" s="3"/>
      <c r="P70" s="3"/>
      <c r="Q70" s="3"/>
      <c r="R70" s="44">
        <f>SUM(R60:R69)</f>
        <v>25</v>
      </c>
      <c r="S70" s="20">
        <f>155383.43/25</f>
        <v>6215.3372</v>
      </c>
      <c r="T70" s="3"/>
      <c r="U70" s="3"/>
      <c r="V70" s="3"/>
      <c r="W70" s="44">
        <f>SUM(W61:W69)</f>
        <v>27</v>
      </c>
      <c r="X70" s="20">
        <f>164693.2/27</f>
        <v>6099.748148148148</v>
      </c>
      <c r="Y70" s="3"/>
      <c r="Z70" s="3"/>
      <c r="AA70" s="3"/>
      <c r="AB70" s="44">
        <f>SUM(AB60:AB69)</f>
        <v>28</v>
      </c>
      <c r="AC70" s="20">
        <f>150250.36/28</f>
        <v>5366.084285714285</v>
      </c>
      <c r="AD70" s="3"/>
      <c r="AE70" s="3"/>
      <c r="AF70" s="3"/>
      <c r="AG70" s="128">
        <f>SUM(AG60:AG69)</f>
        <v>32</v>
      </c>
      <c r="AH70" s="128"/>
      <c r="AI70" s="20">
        <f>137022.89/AG70</f>
        <v>4281.9653125</v>
      </c>
      <c r="AJ70" s="128"/>
      <c r="AK70" s="128"/>
      <c r="AL70" s="128"/>
    </row>
    <row r="71" spans="1:38" ht="18" customHeight="1">
      <c r="A71" s="164" t="s">
        <v>44</v>
      </c>
      <c r="B71" s="6" t="s">
        <v>10</v>
      </c>
      <c r="C71" s="17"/>
      <c r="D71" s="19"/>
      <c r="E71" s="50"/>
      <c r="F71" s="11"/>
      <c r="G71" s="11"/>
      <c r="H71" s="17"/>
      <c r="I71" s="19"/>
      <c r="J71" s="21"/>
      <c r="K71" s="12"/>
      <c r="L71" s="9"/>
      <c r="M71" s="45"/>
      <c r="N71" s="87"/>
      <c r="O71" s="87"/>
      <c r="P71" s="87"/>
      <c r="Q71" s="87"/>
      <c r="R71" s="45"/>
      <c r="S71" s="87"/>
      <c r="T71" s="87"/>
      <c r="U71" s="87"/>
      <c r="V71" s="87"/>
      <c r="W71" s="45"/>
      <c r="X71" s="87"/>
      <c r="Y71" s="87"/>
      <c r="Z71" s="87"/>
      <c r="AA71" s="87"/>
      <c r="AB71" s="45"/>
      <c r="AC71" s="87"/>
      <c r="AD71" s="87"/>
      <c r="AE71" s="87"/>
      <c r="AF71" s="87"/>
      <c r="AG71" s="25"/>
      <c r="AH71" s="25"/>
      <c r="AI71" s="54"/>
      <c r="AJ71" s="66"/>
      <c r="AK71" s="12"/>
      <c r="AL71" s="9"/>
    </row>
    <row r="72" spans="1:38" ht="18" customHeight="1">
      <c r="A72" s="164"/>
      <c r="B72" s="6" t="s">
        <v>11</v>
      </c>
      <c r="C72" s="17"/>
      <c r="D72" s="19"/>
      <c r="E72" s="50"/>
      <c r="F72" s="11"/>
      <c r="G72" s="11"/>
      <c r="H72" s="17"/>
      <c r="I72" s="19"/>
      <c r="J72" s="21"/>
      <c r="K72" s="12"/>
      <c r="L72" s="9"/>
      <c r="M72" s="45"/>
      <c r="N72" s="87"/>
      <c r="O72" s="87"/>
      <c r="P72" s="87"/>
      <c r="Q72" s="87"/>
      <c r="R72" s="45">
        <v>11</v>
      </c>
      <c r="S72" s="19">
        <f>3370.4/11</f>
        <v>306.40000000000003</v>
      </c>
      <c r="T72" s="87"/>
      <c r="U72" s="87"/>
      <c r="V72" s="87"/>
      <c r="W72" s="45">
        <v>9</v>
      </c>
      <c r="X72" s="19">
        <f>3289.5/9</f>
        <v>365.5</v>
      </c>
      <c r="Y72" s="87"/>
      <c r="Z72" s="87"/>
      <c r="AA72" s="87"/>
      <c r="AB72" s="45">
        <v>5</v>
      </c>
      <c r="AC72" s="19">
        <f>2716.2/5</f>
        <v>543.24</v>
      </c>
      <c r="AD72" s="87"/>
      <c r="AE72" s="87"/>
      <c r="AF72" s="87"/>
      <c r="AG72" s="25">
        <v>5</v>
      </c>
      <c r="AH72" s="25"/>
      <c r="AI72" s="54">
        <f>1760.5/AG72</f>
        <v>352.1</v>
      </c>
      <c r="AJ72" s="66"/>
      <c r="AK72" s="12"/>
      <c r="AL72" s="9"/>
    </row>
    <row r="73" spans="1:38" ht="18" customHeight="1">
      <c r="A73" s="164"/>
      <c r="B73" s="6" t="s">
        <v>12</v>
      </c>
      <c r="C73" s="17"/>
      <c r="D73" s="19"/>
      <c r="E73" s="50"/>
      <c r="F73" s="11"/>
      <c r="G73" s="11"/>
      <c r="H73" s="17"/>
      <c r="I73" s="19"/>
      <c r="J73" s="21"/>
      <c r="K73" s="13"/>
      <c r="L73" s="9"/>
      <c r="M73" s="45"/>
      <c r="N73" s="87"/>
      <c r="O73" s="87"/>
      <c r="P73" s="87"/>
      <c r="Q73" s="87"/>
      <c r="R73" s="45"/>
      <c r="S73" s="19"/>
      <c r="T73" s="87"/>
      <c r="U73" s="87"/>
      <c r="V73" s="87"/>
      <c r="W73" s="45"/>
      <c r="X73" s="19"/>
      <c r="Y73" s="87"/>
      <c r="Z73" s="87"/>
      <c r="AA73" s="87"/>
      <c r="AB73" s="45"/>
      <c r="AC73" s="19"/>
      <c r="AD73" s="87"/>
      <c r="AE73" s="87"/>
      <c r="AF73" s="87"/>
      <c r="AG73" s="25"/>
      <c r="AH73" s="25"/>
      <c r="AI73" s="54"/>
      <c r="AJ73" s="66"/>
      <c r="AK73" s="13"/>
      <c r="AL73" s="9"/>
    </row>
    <row r="74" spans="1:38" ht="18" customHeight="1">
      <c r="A74" s="164"/>
      <c r="B74" s="6" t="s">
        <v>13</v>
      </c>
      <c r="C74" s="17"/>
      <c r="D74" s="19"/>
      <c r="E74" s="50"/>
      <c r="F74" s="11"/>
      <c r="G74" s="11"/>
      <c r="H74" s="17"/>
      <c r="I74" s="19"/>
      <c r="J74" s="21"/>
      <c r="K74" s="12"/>
      <c r="L74" s="9"/>
      <c r="M74" s="45"/>
      <c r="N74" s="87"/>
      <c r="O74" s="87"/>
      <c r="P74" s="87"/>
      <c r="Q74" s="87"/>
      <c r="R74" s="45">
        <v>1</v>
      </c>
      <c r="S74" s="19">
        <v>292.5</v>
      </c>
      <c r="T74" s="87"/>
      <c r="U74" s="87"/>
      <c r="V74" s="87"/>
      <c r="W74" s="45"/>
      <c r="X74" s="19"/>
      <c r="Y74" s="87"/>
      <c r="Z74" s="87"/>
      <c r="AA74" s="87"/>
      <c r="AB74" s="45"/>
      <c r="AC74" s="19"/>
      <c r="AD74" s="87"/>
      <c r="AE74" s="87"/>
      <c r="AF74" s="87"/>
      <c r="AG74" s="25"/>
      <c r="AH74" s="25"/>
      <c r="AI74" s="54"/>
      <c r="AJ74" s="66"/>
      <c r="AK74" s="12"/>
      <c r="AL74" s="9"/>
    </row>
    <row r="75" spans="1:38" ht="18" customHeight="1">
      <c r="A75" s="164"/>
      <c r="B75" s="6" t="s">
        <v>14</v>
      </c>
      <c r="C75" s="17"/>
      <c r="D75" s="19"/>
      <c r="E75" s="50"/>
      <c r="F75" s="11"/>
      <c r="G75" s="11"/>
      <c r="H75" s="17"/>
      <c r="I75" s="19"/>
      <c r="J75" s="21"/>
      <c r="K75" s="12"/>
      <c r="L75" s="9"/>
      <c r="M75" s="45"/>
      <c r="N75" s="87"/>
      <c r="O75" s="87"/>
      <c r="P75" s="87"/>
      <c r="Q75" s="87"/>
      <c r="R75" s="45"/>
      <c r="S75" s="19"/>
      <c r="T75" s="87"/>
      <c r="U75" s="87"/>
      <c r="V75" s="87"/>
      <c r="W75" s="45"/>
      <c r="X75" s="19"/>
      <c r="Y75" s="87"/>
      <c r="Z75" s="87"/>
      <c r="AA75" s="87"/>
      <c r="AB75" s="45"/>
      <c r="AC75" s="19"/>
      <c r="AD75" s="87"/>
      <c r="AE75" s="87"/>
      <c r="AF75" s="87"/>
      <c r="AG75" s="25"/>
      <c r="AH75" s="25"/>
      <c r="AI75" s="54"/>
      <c r="AJ75" s="66"/>
      <c r="AK75" s="12"/>
      <c r="AL75" s="9"/>
    </row>
    <row r="76" spans="1:38" ht="18" customHeight="1">
      <c r="A76" s="164"/>
      <c r="B76" s="6" t="s">
        <v>15</v>
      </c>
      <c r="C76" s="17"/>
      <c r="D76" s="19"/>
      <c r="E76" s="50"/>
      <c r="F76" s="11"/>
      <c r="G76" s="11"/>
      <c r="H76" s="17"/>
      <c r="I76" s="19"/>
      <c r="J76" s="21"/>
      <c r="K76" s="12"/>
      <c r="L76" s="9"/>
      <c r="M76" s="45"/>
      <c r="N76" s="87"/>
      <c r="O76" s="87"/>
      <c r="P76" s="87"/>
      <c r="Q76" s="87"/>
      <c r="R76" s="45"/>
      <c r="S76" s="19"/>
      <c r="T76" s="87"/>
      <c r="U76" s="87"/>
      <c r="V76" s="87"/>
      <c r="W76" s="45"/>
      <c r="X76" s="19"/>
      <c r="Y76" s="87"/>
      <c r="Z76" s="87"/>
      <c r="AA76" s="87"/>
      <c r="AB76" s="45"/>
      <c r="AC76" s="19"/>
      <c r="AD76" s="87"/>
      <c r="AE76" s="87"/>
      <c r="AF76" s="87"/>
      <c r="AG76" s="25"/>
      <c r="AH76" s="25"/>
      <c r="AI76" s="54"/>
      <c r="AJ76" s="66"/>
      <c r="AK76" s="12"/>
      <c r="AL76" s="9"/>
    </row>
    <row r="77" spans="1:38" ht="18" customHeight="1">
      <c r="A77" s="164"/>
      <c r="B77" s="6" t="s">
        <v>16</v>
      </c>
      <c r="C77" s="17"/>
      <c r="D77" s="19"/>
      <c r="E77" s="50"/>
      <c r="F77" s="11"/>
      <c r="G77" s="11"/>
      <c r="H77" s="17"/>
      <c r="I77" s="19"/>
      <c r="J77" s="21"/>
      <c r="K77" s="12"/>
      <c r="L77" s="9"/>
      <c r="M77" s="45"/>
      <c r="N77" s="87"/>
      <c r="O77" s="87"/>
      <c r="P77" s="87"/>
      <c r="Q77" s="87"/>
      <c r="R77" s="45">
        <v>1</v>
      </c>
      <c r="S77" s="19">
        <v>584</v>
      </c>
      <c r="T77" s="87"/>
      <c r="U77" s="87"/>
      <c r="V77" s="87"/>
      <c r="W77" s="45">
        <v>1</v>
      </c>
      <c r="X77" s="19">
        <v>529</v>
      </c>
      <c r="Y77" s="87"/>
      <c r="Z77" s="87"/>
      <c r="AA77" s="87"/>
      <c r="AB77" s="45">
        <v>1</v>
      </c>
      <c r="AC77" s="19">
        <v>672</v>
      </c>
      <c r="AD77" s="87"/>
      <c r="AE77" s="87"/>
      <c r="AF77" s="87"/>
      <c r="AG77" s="25">
        <v>3</v>
      </c>
      <c r="AH77" s="25"/>
      <c r="AI77" s="54">
        <f>794/AG77</f>
        <v>264.6666666666667</v>
      </c>
      <c r="AJ77" s="66"/>
      <c r="AK77" s="12"/>
      <c r="AL77" s="9"/>
    </row>
    <row r="78" spans="1:38" ht="18" customHeight="1">
      <c r="A78" s="164"/>
      <c r="B78" s="6" t="s">
        <v>17</v>
      </c>
      <c r="C78" s="17"/>
      <c r="D78" s="19"/>
      <c r="E78" s="50"/>
      <c r="F78" s="11"/>
      <c r="G78" s="11"/>
      <c r="H78" s="17"/>
      <c r="I78" s="19"/>
      <c r="J78" s="21"/>
      <c r="K78" s="12"/>
      <c r="L78" s="9"/>
      <c r="M78" s="45"/>
      <c r="N78" s="87"/>
      <c r="O78" s="87"/>
      <c r="P78" s="87"/>
      <c r="Q78" s="87"/>
      <c r="R78" s="45"/>
      <c r="S78" s="19"/>
      <c r="T78" s="87"/>
      <c r="U78" s="87"/>
      <c r="V78" s="87"/>
      <c r="W78" s="45"/>
      <c r="X78" s="19"/>
      <c r="Y78" s="87"/>
      <c r="Z78" s="87"/>
      <c r="AA78" s="87"/>
      <c r="AB78" s="45"/>
      <c r="AC78" s="19"/>
      <c r="AD78" s="87"/>
      <c r="AE78" s="87"/>
      <c r="AF78" s="87"/>
      <c r="AG78" s="25"/>
      <c r="AH78" s="25"/>
      <c r="AI78" s="54"/>
      <c r="AJ78" s="66"/>
      <c r="AK78" s="12"/>
      <c r="AL78" s="9"/>
    </row>
    <row r="79" spans="1:38" ht="18" customHeight="1">
      <c r="A79" s="164"/>
      <c r="B79" s="6" t="s">
        <v>90</v>
      </c>
      <c r="C79" s="17"/>
      <c r="D79" s="19"/>
      <c r="E79" s="50"/>
      <c r="F79" s="11"/>
      <c r="G79" s="11"/>
      <c r="H79" s="17"/>
      <c r="I79" s="19"/>
      <c r="J79" s="21"/>
      <c r="K79" s="12"/>
      <c r="L79" s="9"/>
      <c r="M79" s="45"/>
      <c r="N79" s="87"/>
      <c r="O79" s="87"/>
      <c r="P79" s="87"/>
      <c r="Q79" s="87"/>
      <c r="R79" s="45"/>
      <c r="S79" s="19"/>
      <c r="T79" s="87"/>
      <c r="U79" s="87"/>
      <c r="V79" s="87"/>
      <c r="W79" s="45">
        <v>1</v>
      </c>
      <c r="X79" s="19">
        <v>475</v>
      </c>
      <c r="Y79" s="87"/>
      <c r="Z79" s="87"/>
      <c r="AA79" s="87"/>
      <c r="AB79" s="45">
        <v>1</v>
      </c>
      <c r="AC79" s="19">
        <v>386</v>
      </c>
      <c r="AD79" s="87"/>
      <c r="AE79" s="87"/>
      <c r="AF79" s="87"/>
      <c r="AG79" s="25">
        <v>2</v>
      </c>
      <c r="AH79" s="25"/>
      <c r="AI79" s="54">
        <f>386/AG79</f>
        <v>193</v>
      </c>
      <c r="AJ79" s="66"/>
      <c r="AK79" s="12"/>
      <c r="AL79" s="9"/>
    </row>
    <row r="80" spans="1:38" ht="18" customHeight="1">
      <c r="A80" s="164"/>
      <c r="B80" s="6" t="s">
        <v>18</v>
      </c>
      <c r="C80" s="17">
        <v>14</v>
      </c>
      <c r="D80" s="19">
        <f>6356/14</f>
        <v>454</v>
      </c>
      <c r="E80" s="50"/>
      <c r="F80" s="11"/>
      <c r="G80" s="11"/>
      <c r="H80" s="17">
        <v>15</v>
      </c>
      <c r="I80" s="19">
        <f>5292/15</f>
        <v>352.8</v>
      </c>
      <c r="J80" s="21"/>
      <c r="K80" s="12"/>
      <c r="L80" s="9"/>
      <c r="M80" s="45">
        <v>16</v>
      </c>
      <c r="N80" s="19">
        <f>7050.6/16</f>
        <v>440.6625</v>
      </c>
      <c r="O80" s="87"/>
      <c r="P80" s="87"/>
      <c r="Q80" s="87"/>
      <c r="R80" s="45">
        <v>17</v>
      </c>
      <c r="S80" s="19">
        <f>4954.1/17</f>
        <v>291.41764705882355</v>
      </c>
      <c r="T80" s="87"/>
      <c r="U80" s="87"/>
      <c r="V80" s="87"/>
      <c r="W80" s="45">
        <v>21</v>
      </c>
      <c r="X80" s="19">
        <f>5943.3/21</f>
        <v>283.01428571428573</v>
      </c>
      <c r="Y80" s="87"/>
      <c r="Z80" s="87"/>
      <c r="AA80" s="87"/>
      <c r="AB80" s="45">
        <v>19</v>
      </c>
      <c r="AC80" s="19">
        <f>6263.2/19</f>
        <v>329.6421052631579</v>
      </c>
      <c r="AD80" s="87"/>
      <c r="AE80" s="87"/>
      <c r="AF80" s="87"/>
      <c r="AG80" s="25">
        <v>13</v>
      </c>
      <c r="AH80" s="25"/>
      <c r="AI80" s="54">
        <f>3961.8/AG80</f>
        <v>304.75384615384615</v>
      </c>
      <c r="AJ80" s="66"/>
      <c r="AK80" s="12"/>
      <c r="AL80" s="9"/>
    </row>
    <row r="81" spans="1:38" ht="14.25" customHeight="1">
      <c r="A81" s="164"/>
      <c r="B81" s="69" t="s">
        <v>19</v>
      </c>
      <c r="C81" s="18">
        <f>SUM(C71:C80)</f>
        <v>14</v>
      </c>
      <c r="D81" s="20">
        <v>454</v>
      </c>
      <c r="E81" s="49"/>
      <c r="F81" s="5"/>
      <c r="G81" s="5"/>
      <c r="H81" s="18">
        <f>SUM(H71:H80)</f>
        <v>15</v>
      </c>
      <c r="I81" s="20">
        <v>352.8</v>
      </c>
      <c r="J81" s="40"/>
      <c r="K81" s="2"/>
      <c r="L81" s="3"/>
      <c r="M81" s="18">
        <v>16</v>
      </c>
      <c r="N81" s="20">
        <f>SUM(N80)</f>
        <v>440.6625</v>
      </c>
      <c r="O81" s="3"/>
      <c r="P81" s="3"/>
      <c r="Q81" s="3"/>
      <c r="R81" s="18">
        <f>SUM(R71:R80)</f>
        <v>30</v>
      </c>
      <c r="S81" s="20">
        <f>9201/R81</f>
        <v>306.7</v>
      </c>
      <c r="T81" s="3"/>
      <c r="U81" s="3"/>
      <c r="V81" s="3"/>
      <c r="W81" s="18">
        <f>SUM(W71:W80)</f>
        <v>32</v>
      </c>
      <c r="X81" s="20">
        <f>10236.8/32</f>
        <v>319.9</v>
      </c>
      <c r="Y81" s="3"/>
      <c r="Z81" s="3"/>
      <c r="AA81" s="3"/>
      <c r="AB81" s="18">
        <f>SUM(AB71:AB80)</f>
        <v>26</v>
      </c>
      <c r="AC81" s="20">
        <f>10037.4/26</f>
        <v>386.05384615384617</v>
      </c>
      <c r="AD81" s="3"/>
      <c r="AE81" s="3"/>
      <c r="AF81" s="3"/>
      <c r="AG81" s="128">
        <f>SUM(AG71:AG80)</f>
        <v>23</v>
      </c>
      <c r="AH81" s="128"/>
      <c r="AI81" s="20">
        <f>6902.3/AG81</f>
        <v>300.1</v>
      </c>
      <c r="AJ81" s="49"/>
      <c r="AK81" s="2"/>
      <c r="AL81" s="3"/>
    </row>
    <row r="82" spans="1:38" ht="18" customHeight="1">
      <c r="A82" s="164" t="s">
        <v>46</v>
      </c>
      <c r="B82" s="6" t="s">
        <v>10</v>
      </c>
      <c r="C82" s="17"/>
      <c r="D82" s="19"/>
      <c r="E82" s="50"/>
      <c r="F82" s="11"/>
      <c r="G82" s="11"/>
      <c r="H82" s="17"/>
      <c r="I82" s="19"/>
      <c r="J82" s="33"/>
      <c r="K82" s="12"/>
      <c r="L82" s="9"/>
      <c r="M82" s="45"/>
      <c r="N82" s="87"/>
      <c r="O82" s="87"/>
      <c r="P82" s="87"/>
      <c r="Q82" s="87"/>
      <c r="R82" s="45"/>
      <c r="S82" s="87"/>
      <c r="T82" s="87"/>
      <c r="U82" s="87"/>
      <c r="V82" s="87"/>
      <c r="W82" s="45"/>
      <c r="X82" s="87"/>
      <c r="Y82" s="87"/>
      <c r="Z82" s="87"/>
      <c r="AA82" s="87"/>
      <c r="AB82" s="45"/>
      <c r="AC82" s="87"/>
      <c r="AD82" s="87"/>
      <c r="AE82" s="87"/>
      <c r="AF82" s="87"/>
      <c r="AG82" s="25"/>
      <c r="AH82" s="25"/>
      <c r="AI82" s="26"/>
      <c r="AJ82" s="47"/>
      <c r="AK82" s="12"/>
      <c r="AL82" s="9"/>
    </row>
    <row r="83" spans="1:38" ht="18" customHeight="1">
      <c r="A83" s="164"/>
      <c r="B83" s="6" t="s">
        <v>11</v>
      </c>
      <c r="C83" s="17">
        <v>40</v>
      </c>
      <c r="D83" s="19">
        <f>15387.5/40</f>
        <v>384.6875</v>
      </c>
      <c r="E83" s="50"/>
      <c r="F83" s="11"/>
      <c r="G83" s="11"/>
      <c r="H83" s="17">
        <v>39</v>
      </c>
      <c r="I83" s="19">
        <f>12645/39</f>
        <v>324.2307692307692</v>
      </c>
      <c r="J83" s="33"/>
      <c r="K83" s="12"/>
      <c r="L83" s="9"/>
      <c r="M83" s="45">
        <v>64</v>
      </c>
      <c r="N83" s="19">
        <f>16636/64</f>
        <v>259.9375</v>
      </c>
      <c r="O83" s="87"/>
      <c r="P83" s="87"/>
      <c r="Q83" s="87"/>
      <c r="R83" s="45">
        <v>59</v>
      </c>
      <c r="S83" s="19">
        <f>17389/R83</f>
        <v>294.728813559322</v>
      </c>
      <c r="T83" s="87"/>
      <c r="U83" s="87"/>
      <c r="V83" s="87"/>
      <c r="W83" s="45">
        <v>62</v>
      </c>
      <c r="X83" s="19">
        <f>18696.5/62</f>
        <v>301.55645161290323</v>
      </c>
      <c r="Y83" s="87"/>
      <c r="Z83" s="87"/>
      <c r="AA83" s="87"/>
      <c r="AB83" s="45"/>
      <c r="AC83" s="19"/>
      <c r="AD83" s="87"/>
      <c r="AE83" s="87"/>
      <c r="AF83" s="87"/>
      <c r="AG83" s="25"/>
      <c r="AH83" s="25"/>
      <c r="AI83" s="54"/>
      <c r="AJ83" s="66"/>
      <c r="AK83" s="12"/>
      <c r="AL83" s="9"/>
    </row>
    <row r="84" spans="1:38" ht="18" customHeight="1">
      <c r="A84" s="164"/>
      <c r="B84" s="6" t="s">
        <v>12</v>
      </c>
      <c r="C84" s="17"/>
      <c r="D84" s="19"/>
      <c r="E84" s="50"/>
      <c r="F84" s="11"/>
      <c r="G84" s="11"/>
      <c r="H84" s="17"/>
      <c r="I84" s="19"/>
      <c r="J84" s="33"/>
      <c r="K84" s="13"/>
      <c r="L84" s="9"/>
      <c r="M84" s="45"/>
      <c r="N84" s="19"/>
      <c r="O84" s="87"/>
      <c r="P84" s="87"/>
      <c r="Q84" s="87"/>
      <c r="R84" s="45"/>
      <c r="S84" s="19"/>
      <c r="T84" s="87"/>
      <c r="U84" s="87"/>
      <c r="V84" s="87"/>
      <c r="W84" s="45"/>
      <c r="X84" s="19"/>
      <c r="Y84" s="87"/>
      <c r="Z84" s="87"/>
      <c r="AA84" s="87"/>
      <c r="AB84" s="45"/>
      <c r="AC84" s="19"/>
      <c r="AD84" s="87"/>
      <c r="AE84" s="87"/>
      <c r="AF84" s="87"/>
      <c r="AG84" s="25"/>
      <c r="AH84" s="25"/>
      <c r="AI84" s="54"/>
      <c r="AJ84" s="66"/>
      <c r="AK84" s="13"/>
      <c r="AL84" s="9"/>
    </row>
    <row r="85" spans="1:38" ht="18" customHeight="1">
      <c r="A85" s="164"/>
      <c r="B85" s="6" t="s">
        <v>13</v>
      </c>
      <c r="C85" s="17"/>
      <c r="D85" s="19"/>
      <c r="E85" s="50"/>
      <c r="F85" s="11"/>
      <c r="G85" s="11"/>
      <c r="H85" s="17">
        <v>1</v>
      </c>
      <c r="I85" s="19">
        <v>380</v>
      </c>
      <c r="J85" s="33"/>
      <c r="K85" s="12"/>
      <c r="L85" s="9"/>
      <c r="M85" s="45"/>
      <c r="N85" s="19"/>
      <c r="O85" s="87"/>
      <c r="P85" s="87"/>
      <c r="Q85" s="87"/>
      <c r="R85" s="45"/>
      <c r="S85" s="19"/>
      <c r="T85" s="87"/>
      <c r="U85" s="87"/>
      <c r="V85" s="87"/>
      <c r="W85" s="45"/>
      <c r="X85" s="19"/>
      <c r="Y85" s="87"/>
      <c r="Z85" s="87"/>
      <c r="AA85" s="87"/>
      <c r="AB85" s="45"/>
      <c r="AC85" s="19"/>
      <c r="AD85" s="87"/>
      <c r="AE85" s="87"/>
      <c r="AF85" s="87"/>
      <c r="AG85" s="25"/>
      <c r="AH85" s="25"/>
      <c r="AI85" s="54"/>
      <c r="AJ85" s="66"/>
      <c r="AK85" s="12"/>
      <c r="AL85" s="9"/>
    </row>
    <row r="86" spans="1:38" ht="18" customHeight="1">
      <c r="A86" s="164"/>
      <c r="B86" s="6" t="s">
        <v>14</v>
      </c>
      <c r="C86" s="17"/>
      <c r="D86" s="19"/>
      <c r="E86" s="50"/>
      <c r="F86" s="11"/>
      <c r="G86" s="11"/>
      <c r="H86" s="17"/>
      <c r="I86" s="19"/>
      <c r="J86" s="33"/>
      <c r="K86" s="12"/>
      <c r="L86" s="9"/>
      <c r="M86" s="45">
        <v>1</v>
      </c>
      <c r="N86" s="19">
        <f>180/1</f>
        <v>180</v>
      </c>
      <c r="O86" s="87"/>
      <c r="P86" s="87"/>
      <c r="Q86" s="87"/>
      <c r="R86" s="45">
        <v>0</v>
      </c>
      <c r="S86" s="19"/>
      <c r="T86" s="87"/>
      <c r="U86" s="87"/>
      <c r="V86" s="87"/>
      <c r="W86" s="45">
        <v>1</v>
      </c>
      <c r="X86" s="19">
        <v>1650</v>
      </c>
      <c r="Y86" s="87"/>
      <c r="Z86" s="87"/>
      <c r="AA86" s="87"/>
      <c r="AB86" s="45"/>
      <c r="AC86" s="19"/>
      <c r="AD86" s="87"/>
      <c r="AE86" s="87"/>
      <c r="AF86" s="87"/>
      <c r="AG86" s="25"/>
      <c r="AH86" s="25"/>
      <c r="AI86" s="54"/>
      <c r="AJ86" s="66"/>
      <c r="AK86" s="12"/>
      <c r="AL86" s="9"/>
    </row>
    <row r="87" spans="1:38" ht="18" customHeight="1">
      <c r="A87" s="164"/>
      <c r="B87" s="6" t="s">
        <v>15</v>
      </c>
      <c r="C87" s="17"/>
      <c r="D87" s="19"/>
      <c r="E87" s="50"/>
      <c r="F87" s="11"/>
      <c r="G87" s="11"/>
      <c r="H87" s="17"/>
      <c r="I87" s="19"/>
      <c r="J87" s="33"/>
      <c r="K87" s="12"/>
      <c r="L87" s="9"/>
      <c r="M87" s="45"/>
      <c r="N87" s="19"/>
      <c r="O87" s="87"/>
      <c r="P87" s="87"/>
      <c r="Q87" s="87"/>
      <c r="R87" s="45"/>
      <c r="S87" s="19"/>
      <c r="T87" s="87"/>
      <c r="U87" s="87"/>
      <c r="V87" s="87"/>
      <c r="W87" s="45"/>
      <c r="X87" s="19"/>
      <c r="Y87" s="87"/>
      <c r="Z87" s="87"/>
      <c r="AA87" s="87"/>
      <c r="AB87" s="45"/>
      <c r="AC87" s="19"/>
      <c r="AD87" s="87"/>
      <c r="AE87" s="87"/>
      <c r="AF87" s="87"/>
      <c r="AG87" s="25"/>
      <c r="AH87" s="25"/>
      <c r="AI87" s="54"/>
      <c r="AJ87" s="66"/>
      <c r="AK87" s="12"/>
      <c r="AL87" s="9"/>
    </row>
    <row r="88" spans="1:38" ht="18" customHeight="1">
      <c r="A88" s="164"/>
      <c r="B88" s="6" t="s">
        <v>16</v>
      </c>
      <c r="C88" s="17"/>
      <c r="D88" s="19"/>
      <c r="E88" s="50"/>
      <c r="F88" s="11"/>
      <c r="G88" s="11"/>
      <c r="H88" s="17"/>
      <c r="I88" s="19"/>
      <c r="J88" s="33"/>
      <c r="K88" s="12"/>
      <c r="L88" s="9"/>
      <c r="M88" s="45"/>
      <c r="N88" s="19"/>
      <c r="O88" s="87"/>
      <c r="P88" s="87"/>
      <c r="Q88" s="87"/>
      <c r="R88" s="45"/>
      <c r="S88" s="19"/>
      <c r="T88" s="87"/>
      <c r="U88" s="87"/>
      <c r="V88" s="87"/>
      <c r="W88" s="45">
        <v>6</v>
      </c>
      <c r="X88" s="19">
        <f>736/6</f>
        <v>122.66666666666667</v>
      </c>
      <c r="Y88" s="87"/>
      <c r="Z88" s="87"/>
      <c r="AA88" s="87"/>
      <c r="AB88" s="45"/>
      <c r="AC88" s="19"/>
      <c r="AD88" s="87"/>
      <c r="AE88" s="87"/>
      <c r="AF88" s="87"/>
      <c r="AG88" s="25"/>
      <c r="AH88" s="25"/>
      <c r="AI88" s="54"/>
      <c r="AJ88" s="66"/>
      <c r="AK88" s="12"/>
      <c r="AL88" s="9"/>
    </row>
    <row r="89" spans="1:38" ht="18" customHeight="1">
      <c r="A89" s="164"/>
      <c r="B89" s="6" t="s">
        <v>17</v>
      </c>
      <c r="C89" s="17">
        <v>1</v>
      </c>
      <c r="D89" s="19">
        <v>358</v>
      </c>
      <c r="E89" s="50"/>
      <c r="F89" s="11"/>
      <c r="G89" s="11"/>
      <c r="H89" s="17">
        <v>1</v>
      </c>
      <c r="I89" s="19">
        <v>1225</v>
      </c>
      <c r="J89" s="33"/>
      <c r="K89" s="12"/>
      <c r="L89" s="9"/>
      <c r="M89" s="45"/>
      <c r="N89" s="19"/>
      <c r="O89" s="87"/>
      <c r="P89" s="87"/>
      <c r="Q89" s="87"/>
      <c r="R89" s="45"/>
      <c r="S89" s="19"/>
      <c r="T89" s="87"/>
      <c r="U89" s="87"/>
      <c r="V89" s="87"/>
      <c r="W89" s="45"/>
      <c r="X89" s="19"/>
      <c r="Y89" s="87"/>
      <c r="Z89" s="87"/>
      <c r="AA89" s="87"/>
      <c r="AB89" s="45"/>
      <c r="AC89" s="19"/>
      <c r="AD89" s="87"/>
      <c r="AE89" s="87"/>
      <c r="AF89" s="87"/>
      <c r="AG89" s="25"/>
      <c r="AH89" s="25"/>
      <c r="AI89" s="54"/>
      <c r="AJ89" s="66"/>
      <c r="AK89" s="12"/>
      <c r="AL89" s="9"/>
    </row>
    <row r="90" spans="1:38" ht="18" customHeight="1">
      <c r="A90" s="164"/>
      <c r="B90" s="6" t="s">
        <v>90</v>
      </c>
      <c r="C90" s="17"/>
      <c r="D90" s="19"/>
      <c r="E90" s="50"/>
      <c r="F90" s="11"/>
      <c r="G90" s="11"/>
      <c r="H90" s="17"/>
      <c r="I90" s="19"/>
      <c r="J90" s="33"/>
      <c r="K90" s="12"/>
      <c r="L90" s="9"/>
      <c r="M90" s="45"/>
      <c r="N90" s="19"/>
      <c r="O90" s="87"/>
      <c r="P90" s="87"/>
      <c r="Q90" s="87"/>
      <c r="R90" s="45"/>
      <c r="S90" s="19"/>
      <c r="T90" s="87"/>
      <c r="U90" s="87"/>
      <c r="V90" s="87"/>
      <c r="W90" s="45"/>
      <c r="X90" s="19"/>
      <c r="Y90" s="87"/>
      <c r="Z90" s="87"/>
      <c r="AA90" s="87"/>
      <c r="AB90" s="45"/>
      <c r="AC90" s="19"/>
      <c r="AD90" s="87"/>
      <c r="AE90" s="87"/>
      <c r="AF90" s="87"/>
      <c r="AG90" s="25"/>
      <c r="AH90" s="25"/>
      <c r="AI90" s="54"/>
      <c r="AJ90" s="66"/>
      <c r="AK90" s="12"/>
      <c r="AL90" s="9"/>
    </row>
    <row r="91" spans="1:38" ht="18" customHeight="1">
      <c r="A91" s="164"/>
      <c r="B91" s="6" t="s">
        <v>18</v>
      </c>
      <c r="C91" s="17">
        <v>61</v>
      </c>
      <c r="D91" s="19">
        <f>17208.5/61</f>
        <v>282.10655737704917</v>
      </c>
      <c r="E91" s="50"/>
      <c r="F91" s="11"/>
      <c r="G91" s="11"/>
      <c r="H91" s="17">
        <v>60</v>
      </c>
      <c r="I91" s="19">
        <f>16709.32/60</f>
        <v>278.4886666666667</v>
      </c>
      <c r="J91" s="33"/>
      <c r="K91" s="12"/>
      <c r="L91" s="9"/>
      <c r="M91" s="45">
        <v>50</v>
      </c>
      <c r="N91" s="19">
        <f>14266.06/50</f>
        <v>285.3212</v>
      </c>
      <c r="O91" s="87"/>
      <c r="P91" s="87"/>
      <c r="Q91" s="87"/>
      <c r="R91" s="45">
        <v>29</v>
      </c>
      <c r="S91" s="19">
        <f>7825/R91</f>
        <v>269.82758620689657</v>
      </c>
      <c r="T91" s="87"/>
      <c r="U91" s="87"/>
      <c r="V91" s="87"/>
      <c r="W91" s="45">
        <v>36</v>
      </c>
      <c r="X91" s="19">
        <f>7838/36</f>
        <v>217.72222222222223</v>
      </c>
      <c r="Y91" s="87"/>
      <c r="Z91" s="87"/>
      <c r="AA91" s="87"/>
      <c r="AB91" s="45"/>
      <c r="AC91" s="19"/>
      <c r="AD91" s="87"/>
      <c r="AE91" s="87"/>
      <c r="AF91" s="87"/>
      <c r="AG91" s="25"/>
      <c r="AH91" s="25"/>
      <c r="AI91" s="54"/>
      <c r="AJ91" s="66"/>
      <c r="AK91" s="12"/>
      <c r="AL91" s="9"/>
    </row>
    <row r="92" spans="1:38" ht="18" customHeight="1">
      <c r="A92" s="164"/>
      <c r="B92" s="69" t="s">
        <v>19</v>
      </c>
      <c r="C92" s="18">
        <f>SUM(C82:C91)</f>
        <v>102</v>
      </c>
      <c r="D92" s="20">
        <v>323.08</v>
      </c>
      <c r="E92" s="49"/>
      <c r="F92" s="5"/>
      <c r="G92" s="5"/>
      <c r="H92" s="18">
        <f>SUM(H82:H91)</f>
        <v>101</v>
      </c>
      <c r="I92" s="20">
        <v>306.53</v>
      </c>
      <c r="J92" s="40"/>
      <c r="K92" s="2"/>
      <c r="L92" s="3"/>
      <c r="M92" s="18">
        <f>SUM(M82:M91)</f>
        <v>115</v>
      </c>
      <c r="N92" s="20">
        <f>31082.06/115</f>
        <v>270.2787826086957</v>
      </c>
      <c r="O92" s="3"/>
      <c r="P92" s="3"/>
      <c r="Q92" s="3"/>
      <c r="R92" s="18">
        <f>SUM(R82:R91)</f>
        <v>88</v>
      </c>
      <c r="S92" s="20">
        <f>25214/88</f>
        <v>286.52272727272725</v>
      </c>
      <c r="T92" s="3"/>
      <c r="U92" s="3"/>
      <c r="V92" s="3"/>
      <c r="W92" s="18">
        <f>SUM(W82:W91)</f>
        <v>105</v>
      </c>
      <c r="X92" s="20">
        <f>28920.5/105</f>
        <v>275.43333333333334</v>
      </c>
      <c r="Y92" s="3"/>
      <c r="Z92" s="3"/>
      <c r="AA92" s="3"/>
      <c r="AB92" s="18"/>
      <c r="AC92" s="20"/>
      <c r="AD92" s="3"/>
      <c r="AE92" s="3"/>
      <c r="AF92" s="3"/>
      <c r="AG92" s="128">
        <f>SUM(AG82:AG91)</f>
        <v>0</v>
      </c>
      <c r="AH92" s="128"/>
      <c r="AI92" s="116"/>
      <c r="AJ92" s="49"/>
      <c r="AK92" s="116"/>
      <c r="AL92" s="3"/>
    </row>
    <row r="93" spans="1:38" ht="18" customHeight="1">
      <c r="A93" s="164" t="s">
        <v>45</v>
      </c>
      <c r="B93" s="6" t="s">
        <v>10</v>
      </c>
      <c r="C93" s="17">
        <v>2</v>
      </c>
      <c r="D93" s="19">
        <f>375/2</f>
        <v>187.5</v>
      </c>
      <c r="E93" s="47"/>
      <c r="F93" s="11"/>
      <c r="G93" s="11"/>
      <c r="H93" s="17">
        <v>3</v>
      </c>
      <c r="I93" s="19">
        <f>150/3</f>
        <v>50</v>
      </c>
      <c r="J93" s="33"/>
      <c r="K93" s="12"/>
      <c r="L93" s="9"/>
      <c r="M93" s="45">
        <v>1</v>
      </c>
      <c r="N93" s="19">
        <v>150</v>
      </c>
      <c r="O93" s="87"/>
      <c r="P93" s="87"/>
      <c r="Q93" s="87"/>
      <c r="R93" s="45">
        <v>0</v>
      </c>
      <c r="S93" s="19"/>
      <c r="T93" s="87"/>
      <c r="U93" s="87"/>
      <c r="V93" s="87"/>
      <c r="W93" s="45"/>
      <c r="X93" s="19"/>
      <c r="Y93" s="87"/>
      <c r="Z93" s="87"/>
      <c r="AA93" s="87"/>
      <c r="AB93" s="45"/>
      <c r="AC93" s="19"/>
      <c r="AD93" s="87"/>
      <c r="AE93" s="87"/>
      <c r="AF93" s="87"/>
      <c r="AG93" s="25"/>
      <c r="AH93" s="25"/>
      <c r="AI93" s="26"/>
      <c r="AJ93" s="47"/>
      <c r="AK93" s="12"/>
      <c r="AL93" s="9"/>
    </row>
    <row r="94" spans="1:38" ht="18" customHeight="1">
      <c r="A94" s="164"/>
      <c r="B94" s="6" t="s">
        <v>11</v>
      </c>
      <c r="C94" s="17">
        <v>25</v>
      </c>
      <c r="D94" s="19">
        <f>2425/25</f>
        <v>97</v>
      </c>
      <c r="E94" s="47"/>
      <c r="F94" s="11"/>
      <c r="G94" s="11"/>
      <c r="H94" s="17">
        <v>40</v>
      </c>
      <c r="I94" s="19">
        <f>3890/40</f>
        <v>97.25</v>
      </c>
      <c r="J94" s="33"/>
      <c r="K94" s="12"/>
      <c r="L94" s="9"/>
      <c r="M94" s="45">
        <v>27</v>
      </c>
      <c r="N94" s="19">
        <f>2840/27</f>
        <v>105.18518518518519</v>
      </c>
      <c r="O94" s="87"/>
      <c r="P94" s="87"/>
      <c r="Q94" s="87"/>
      <c r="R94" s="45">
        <v>31</v>
      </c>
      <c r="S94" s="19">
        <f>2748.18/31</f>
        <v>88.65096774193547</v>
      </c>
      <c r="T94" s="87"/>
      <c r="U94" s="87"/>
      <c r="V94" s="87"/>
      <c r="W94" s="45">
        <v>13</v>
      </c>
      <c r="X94" s="19">
        <f>1870/13</f>
        <v>143.84615384615384</v>
      </c>
      <c r="Y94" s="87"/>
      <c r="Z94" s="87"/>
      <c r="AA94" s="87"/>
      <c r="AB94" s="45">
        <v>32</v>
      </c>
      <c r="AC94" s="19">
        <f>4790/32</f>
        <v>149.6875</v>
      </c>
      <c r="AD94" s="87"/>
      <c r="AE94" s="87"/>
      <c r="AF94" s="87"/>
      <c r="AG94" s="25">
        <v>18</v>
      </c>
      <c r="AH94" s="25"/>
      <c r="AI94" s="26">
        <f>2340/AG94</f>
        <v>130</v>
      </c>
      <c r="AJ94" s="66"/>
      <c r="AK94" s="12"/>
      <c r="AL94" s="9"/>
    </row>
    <row r="95" spans="1:38" ht="18" customHeight="1">
      <c r="A95" s="164"/>
      <c r="B95" s="6" t="s">
        <v>12</v>
      </c>
      <c r="C95" s="17">
        <v>1</v>
      </c>
      <c r="D95" s="19">
        <v>225</v>
      </c>
      <c r="E95" s="47"/>
      <c r="F95" s="11"/>
      <c r="G95" s="11"/>
      <c r="H95" s="17">
        <v>3</v>
      </c>
      <c r="I95" s="19">
        <f>460/3</f>
        <v>153.33333333333334</v>
      </c>
      <c r="J95" s="33"/>
      <c r="K95" s="13"/>
      <c r="L95" s="9"/>
      <c r="M95" s="45">
        <v>1</v>
      </c>
      <c r="N95" s="19">
        <v>110</v>
      </c>
      <c r="O95" s="87"/>
      <c r="P95" s="87"/>
      <c r="Q95" s="87"/>
      <c r="R95" s="45">
        <v>0</v>
      </c>
      <c r="S95" s="19"/>
      <c r="T95" s="87"/>
      <c r="U95" s="87"/>
      <c r="V95" s="87"/>
      <c r="W95" s="45"/>
      <c r="X95" s="19"/>
      <c r="Y95" s="87"/>
      <c r="Z95" s="87"/>
      <c r="AA95" s="87"/>
      <c r="AB95" s="45"/>
      <c r="AC95" s="19"/>
      <c r="AD95" s="87"/>
      <c r="AE95" s="87"/>
      <c r="AF95" s="87"/>
      <c r="AG95" s="25"/>
      <c r="AH95" s="25"/>
      <c r="AI95" s="26"/>
      <c r="AJ95" s="47"/>
      <c r="AK95" s="13"/>
      <c r="AL95" s="9"/>
    </row>
    <row r="96" spans="1:38" ht="18" customHeight="1">
      <c r="A96" s="164"/>
      <c r="B96" s="6" t="s">
        <v>13</v>
      </c>
      <c r="C96" s="17">
        <v>9</v>
      </c>
      <c r="D96" s="19">
        <f>1025/9</f>
        <v>113.88888888888889</v>
      </c>
      <c r="E96" s="47"/>
      <c r="F96" s="11"/>
      <c r="G96" s="11"/>
      <c r="H96" s="17">
        <v>7</v>
      </c>
      <c r="I96" s="19">
        <f>550/7</f>
        <v>78.57142857142857</v>
      </c>
      <c r="J96" s="33"/>
      <c r="K96" s="12"/>
      <c r="L96" s="9"/>
      <c r="M96" s="45">
        <v>2</v>
      </c>
      <c r="N96" s="19">
        <f>100/2</f>
        <v>50</v>
      </c>
      <c r="O96" s="87"/>
      <c r="P96" s="87"/>
      <c r="Q96" s="87"/>
      <c r="R96" s="45">
        <v>4</v>
      </c>
      <c r="S96" s="19">
        <f>469.44/R96</f>
        <v>117.36</v>
      </c>
      <c r="T96" s="87"/>
      <c r="U96" s="87"/>
      <c r="V96" s="87"/>
      <c r="W96" s="45"/>
      <c r="X96" s="19"/>
      <c r="Y96" s="87"/>
      <c r="Z96" s="87"/>
      <c r="AA96" s="87"/>
      <c r="AB96" s="45"/>
      <c r="AC96" s="19"/>
      <c r="AD96" s="87"/>
      <c r="AE96" s="87"/>
      <c r="AF96" s="87"/>
      <c r="AG96" s="25"/>
      <c r="AH96" s="25"/>
      <c r="AI96" s="26"/>
      <c r="AJ96" s="47"/>
      <c r="AK96" s="12"/>
      <c r="AL96" s="9"/>
    </row>
    <row r="97" spans="1:38" ht="18" customHeight="1">
      <c r="A97" s="164"/>
      <c r="B97" s="6" t="s">
        <v>14</v>
      </c>
      <c r="C97" s="17">
        <v>3</v>
      </c>
      <c r="D97" s="19">
        <f>200/3</f>
        <v>66.66666666666667</v>
      </c>
      <c r="E97" s="47"/>
      <c r="F97" s="11"/>
      <c r="G97" s="11"/>
      <c r="H97" s="17"/>
      <c r="I97" s="19"/>
      <c r="J97" s="33"/>
      <c r="K97" s="12"/>
      <c r="L97" s="9"/>
      <c r="M97" s="45">
        <v>1</v>
      </c>
      <c r="N97" s="19">
        <v>50</v>
      </c>
      <c r="O97" s="87"/>
      <c r="P97" s="87"/>
      <c r="Q97" s="87"/>
      <c r="R97" s="45">
        <v>1</v>
      </c>
      <c r="S97" s="19">
        <v>146.7</v>
      </c>
      <c r="T97" s="87"/>
      <c r="U97" s="87"/>
      <c r="V97" s="87"/>
      <c r="W97" s="45">
        <v>3</v>
      </c>
      <c r="X97" s="19">
        <f>420/3</f>
        <v>140</v>
      </c>
      <c r="Y97" s="87"/>
      <c r="Z97" s="87"/>
      <c r="AA97" s="87"/>
      <c r="AB97" s="45">
        <v>2</v>
      </c>
      <c r="AC97" s="19">
        <f>280/2</f>
        <v>140</v>
      </c>
      <c r="AD97" s="87"/>
      <c r="AE97" s="87"/>
      <c r="AF97" s="87"/>
      <c r="AG97" s="25">
        <v>4</v>
      </c>
      <c r="AH97" s="25"/>
      <c r="AI97" s="26">
        <f>530/AG97</f>
        <v>132.5</v>
      </c>
      <c r="AJ97" s="47"/>
      <c r="AK97" s="12"/>
      <c r="AL97" s="9"/>
    </row>
    <row r="98" spans="1:38" ht="18" customHeight="1">
      <c r="A98" s="164"/>
      <c r="B98" s="6" t="s">
        <v>15</v>
      </c>
      <c r="C98" s="17">
        <v>3</v>
      </c>
      <c r="D98" s="19">
        <f>625/3</f>
        <v>208.33333333333334</v>
      </c>
      <c r="E98" s="47"/>
      <c r="F98" s="11"/>
      <c r="G98" s="11"/>
      <c r="H98" s="17">
        <v>4</v>
      </c>
      <c r="I98" s="19">
        <f>250/4</f>
        <v>62.5</v>
      </c>
      <c r="J98" s="33"/>
      <c r="K98" s="12"/>
      <c r="L98" s="9"/>
      <c r="M98" s="45">
        <v>2</v>
      </c>
      <c r="N98" s="19">
        <f>460/2</f>
        <v>230</v>
      </c>
      <c r="O98" s="87"/>
      <c r="P98" s="87"/>
      <c r="Q98" s="87"/>
      <c r="R98" s="45">
        <v>2</v>
      </c>
      <c r="S98" s="19">
        <f>195.6/2</f>
        <v>97.8</v>
      </c>
      <c r="T98" s="87"/>
      <c r="U98" s="87"/>
      <c r="V98" s="87"/>
      <c r="W98" s="45"/>
      <c r="X98" s="19"/>
      <c r="Y98" s="87"/>
      <c r="Z98" s="87"/>
      <c r="AA98" s="87"/>
      <c r="AB98" s="45"/>
      <c r="AC98" s="19"/>
      <c r="AD98" s="87"/>
      <c r="AE98" s="87"/>
      <c r="AF98" s="87"/>
      <c r="AG98" s="25"/>
      <c r="AH98" s="25"/>
      <c r="AI98" s="26"/>
      <c r="AJ98" s="66"/>
      <c r="AK98" s="12"/>
      <c r="AL98" s="9"/>
    </row>
    <row r="99" spans="1:38" ht="18" customHeight="1">
      <c r="A99" s="164"/>
      <c r="B99" s="6" t="s">
        <v>16</v>
      </c>
      <c r="C99" s="17">
        <v>11</v>
      </c>
      <c r="D99" s="19">
        <f>1550/11</f>
        <v>140.9090909090909</v>
      </c>
      <c r="E99" s="47"/>
      <c r="F99" s="11"/>
      <c r="G99" s="11"/>
      <c r="H99" s="17">
        <v>14</v>
      </c>
      <c r="I99" s="19">
        <f>1480/14</f>
        <v>105.71428571428571</v>
      </c>
      <c r="J99" s="33"/>
      <c r="K99" s="12"/>
      <c r="L99" s="9"/>
      <c r="M99" s="45">
        <v>3</v>
      </c>
      <c r="N99" s="19">
        <f>200/3</f>
        <v>66.66666666666667</v>
      </c>
      <c r="O99" s="87"/>
      <c r="P99" s="87"/>
      <c r="Q99" s="87"/>
      <c r="R99" s="45">
        <v>1</v>
      </c>
      <c r="S99" s="19">
        <v>48.9</v>
      </c>
      <c r="T99" s="87"/>
      <c r="U99" s="87"/>
      <c r="V99" s="87"/>
      <c r="W99" s="45">
        <v>2</v>
      </c>
      <c r="X99" s="19">
        <f>200/2</f>
        <v>100</v>
      </c>
      <c r="Y99" s="87"/>
      <c r="Z99" s="87"/>
      <c r="AA99" s="87"/>
      <c r="AB99" s="45">
        <v>4</v>
      </c>
      <c r="AC99" s="19">
        <f>260/4</f>
        <v>65</v>
      </c>
      <c r="AD99" s="87"/>
      <c r="AE99" s="87"/>
      <c r="AF99" s="87"/>
      <c r="AG99" s="25">
        <v>2</v>
      </c>
      <c r="AH99" s="25"/>
      <c r="AI99" s="26">
        <f>90/AG99</f>
        <v>45</v>
      </c>
      <c r="AJ99" s="66"/>
      <c r="AK99" s="12"/>
      <c r="AL99" s="9"/>
    </row>
    <row r="100" spans="1:38" ht="18" customHeight="1">
      <c r="A100" s="164"/>
      <c r="B100" s="6" t="s">
        <v>17</v>
      </c>
      <c r="C100" s="17">
        <v>2</v>
      </c>
      <c r="D100" s="19">
        <f>200/2</f>
        <v>100</v>
      </c>
      <c r="E100" s="47"/>
      <c r="F100" s="11"/>
      <c r="G100" s="11"/>
      <c r="H100" s="17">
        <v>2</v>
      </c>
      <c r="I100" s="19">
        <f>450/2</f>
        <v>225</v>
      </c>
      <c r="J100" s="33"/>
      <c r="K100" s="12"/>
      <c r="L100" s="9"/>
      <c r="M100" s="45">
        <v>3</v>
      </c>
      <c r="N100" s="19">
        <f>300/3</f>
        <v>100</v>
      </c>
      <c r="O100" s="87"/>
      <c r="P100" s="87"/>
      <c r="Q100" s="87"/>
      <c r="R100" s="45">
        <v>1</v>
      </c>
      <c r="S100" s="19">
        <v>195.6</v>
      </c>
      <c r="T100" s="87"/>
      <c r="U100" s="87"/>
      <c r="V100" s="87"/>
      <c r="W100" s="45"/>
      <c r="X100" s="19"/>
      <c r="Y100" s="87"/>
      <c r="Z100" s="87"/>
      <c r="AA100" s="87"/>
      <c r="AB100" s="45"/>
      <c r="AC100" s="19"/>
      <c r="AD100" s="87"/>
      <c r="AE100" s="87"/>
      <c r="AF100" s="87"/>
      <c r="AG100" s="25"/>
      <c r="AH100" s="25"/>
      <c r="AI100" s="26"/>
      <c r="AJ100" s="47"/>
      <c r="AK100" s="12"/>
      <c r="AL100" s="9"/>
    </row>
    <row r="101" spans="1:38" ht="18" customHeight="1">
      <c r="A101" s="164"/>
      <c r="B101" s="6" t="s">
        <v>90</v>
      </c>
      <c r="C101" s="17"/>
      <c r="D101" s="19"/>
      <c r="E101" s="47"/>
      <c r="F101" s="11"/>
      <c r="G101" s="11"/>
      <c r="H101" s="17"/>
      <c r="I101" s="19"/>
      <c r="J101" s="33"/>
      <c r="K101" s="12"/>
      <c r="L101" s="9"/>
      <c r="M101" s="45"/>
      <c r="N101" s="19"/>
      <c r="O101" s="87"/>
      <c r="P101" s="87"/>
      <c r="Q101" s="87"/>
      <c r="R101" s="45"/>
      <c r="S101" s="19"/>
      <c r="T101" s="87"/>
      <c r="U101" s="87"/>
      <c r="V101" s="87"/>
      <c r="W101" s="45">
        <v>12</v>
      </c>
      <c r="X101" s="19">
        <f>910/12</f>
        <v>75.83333333333333</v>
      </c>
      <c r="Y101" s="87"/>
      <c r="Z101" s="87"/>
      <c r="AA101" s="87"/>
      <c r="AB101" s="45">
        <v>14</v>
      </c>
      <c r="AC101" s="19">
        <f>1200/14</f>
        <v>85.71428571428571</v>
      </c>
      <c r="AD101" s="87"/>
      <c r="AE101" s="87"/>
      <c r="AF101" s="87"/>
      <c r="AG101" s="25">
        <v>9</v>
      </c>
      <c r="AH101" s="25"/>
      <c r="AI101" s="26">
        <f>620/AG101</f>
        <v>68.88888888888889</v>
      </c>
      <c r="AJ101" s="47"/>
      <c r="AK101" s="12"/>
      <c r="AL101" s="9"/>
    </row>
    <row r="102" spans="1:38" ht="18" customHeight="1">
      <c r="A102" s="164"/>
      <c r="B102" s="6" t="s">
        <v>18</v>
      </c>
      <c r="C102" s="17">
        <v>21</v>
      </c>
      <c r="D102" s="19">
        <f>2550/21</f>
        <v>121.42857142857143</v>
      </c>
      <c r="E102" s="47"/>
      <c r="F102" s="11"/>
      <c r="G102" s="11"/>
      <c r="H102" s="17">
        <v>16</v>
      </c>
      <c r="I102" s="19">
        <f>1800/16</f>
        <v>112.5</v>
      </c>
      <c r="J102" s="33"/>
      <c r="K102" s="12"/>
      <c r="L102" s="9"/>
      <c r="M102" s="45">
        <v>16</v>
      </c>
      <c r="N102" s="19">
        <f>1000/16</f>
        <v>62.5</v>
      </c>
      <c r="O102" s="87"/>
      <c r="P102" s="87"/>
      <c r="Q102" s="87"/>
      <c r="R102" s="45">
        <v>15</v>
      </c>
      <c r="S102" s="19">
        <f>1457.22/15</f>
        <v>97.148</v>
      </c>
      <c r="T102" s="87"/>
      <c r="U102" s="87"/>
      <c r="V102" s="87"/>
      <c r="W102" s="45">
        <v>19</v>
      </c>
      <c r="X102" s="19">
        <f>2270/19</f>
        <v>119.47368421052632</v>
      </c>
      <c r="Y102" s="87"/>
      <c r="Z102" s="87"/>
      <c r="AA102" s="87"/>
      <c r="AB102" s="45">
        <v>13</v>
      </c>
      <c r="AC102" s="19">
        <f>1380/13</f>
        <v>106.15384615384616</v>
      </c>
      <c r="AD102" s="87"/>
      <c r="AE102" s="87"/>
      <c r="AF102" s="87"/>
      <c r="AG102" s="25">
        <v>7</v>
      </c>
      <c r="AH102" s="25"/>
      <c r="AI102" s="26">
        <f>440/AG102</f>
        <v>62.857142857142854</v>
      </c>
      <c r="AJ102" s="47"/>
      <c r="AK102" s="12"/>
      <c r="AL102" s="9"/>
    </row>
    <row r="103" spans="1:38" ht="18" customHeight="1">
      <c r="A103" s="164"/>
      <c r="B103" s="6" t="s">
        <v>66</v>
      </c>
      <c r="C103" s="17"/>
      <c r="D103" s="19"/>
      <c r="E103" s="47"/>
      <c r="F103" s="11"/>
      <c r="G103" s="11"/>
      <c r="H103" s="17">
        <v>1</v>
      </c>
      <c r="I103" s="19">
        <v>100</v>
      </c>
      <c r="J103" s="33"/>
      <c r="K103" s="12"/>
      <c r="L103" s="9"/>
      <c r="M103" s="45"/>
      <c r="N103" s="19"/>
      <c r="O103" s="87"/>
      <c r="P103" s="87"/>
      <c r="Q103" s="87"/>
      <c r="R103" s="45"/>
      <c r="S103" s="19"/>
      <c r="T103" s="87"/>
      <c r="U103" s="87"/>
      <c r="V103" s="87"/>
      <c r="W103" s="45"/>
      <c r="X103" s="19"/>
      <c r="Y103" s="87"/>
      <c r="Z103" s="87"/>
      <c r="AA103" s="87"/>
      <c r="AB103" s="45"/>
      <c r="AC103" s="19"/>
      <c r="AD103" s="87"/>
      <c r="AE103" s="87"/>
      <c r="AF103" s="87"/>
      <c r="AG103" s="25"/>
      <c r="AH103" s="25"/>
      <c r="AI103" s="26"/>
      <c r="AJ103" s="47"/>
      <c r="AK103" s="12"/>
      <c r="AL103" s="9"/>
    </row>
    <row r="104" spans="1:38" ht="18" customHeight="1">
      <c r="A104" s="164"/>
      <c r="B104" s="69" t="s">
        <v>19</v>
      </c>
      <c r="C104" s="18">
        <f>SUM(C93:C103)</f>
        <v>77</v>
      </c>
      <c r="D104" s="20">
        <v>119.16</v>
      </c>
      <c r="E104" s="49"/>
      <c r="F104" s="5"/>
      <c r="G104" s="5"/>
      <c r="H104" s="18">
        <f>SUM(H93:H103)</f>
        <v>90</v>
      </c>
      <c r="I104" s="20">
        <v>101.44</v>
      </c>
      <c r="J104" s="40"/>
      <c r="K104" s="2"/>
      <c r="L104" s="3"/>
      <c r="M104" s="18">
        <f>SUM(M93:M103)</f>
        <v>56</v>
      </c>
      <c r="N104" s="20">
        <f>5210/56</f>
        <v>93.03571428571429</v>
      </c>
      <c r="O104" s="3"/>
      <c r="P104" s="3"/>
      <c r="Q104" s="3"/>
      <c r="R104" s="18">
        <f>SUM(R93:R103)</f>
        <v>55</v>
      </c>
      <c r="S104" s="20">
        <f>5261.74/55</f>
        <v>95.66799999999999</v>
      </c>
      <c r="T104" s="3"/>
      <c r="U104" s="3"/>
      <c r="V104" s="3"/>
      <c r="W104" s="18">
        <f>SUM(W93:W103)</f>
        <v>49</v>
      </c>
      <c r="X104" s="20">
        <f>5670/49</f>
        <v>115.71428571428571</v>
      </c>
      <c r="Y104" s="3"/>
      <c r="Z104" s="3"/>
      <c r="AA104" s="3"/>
      <c r="AB104" s="18">
        <f>SUM(AB93:AB103)</f>
        <v>65</v>
      </c>
      <c r="AC104" s="20">
        <f>7910/65</f>
        <v>121.6923076923077</v>
      </c>
      <c r="AD104" s="3"/>
      <c r="AE104" s="3"/>
      <c r="AF104" s="3"/>
      <c r="AG104" s="128">
        <f>SUM(AG93:AG102)</f>
        <v>40</v>
      </c>
      <c r="AH104" s="128"/>
      <c r="AI104" s="3">
        <f>4020/AG104</f>
        <v>100.5</v>
      </c>
      <c r="AJ104" s="49"/>
      <c r="AK104" s="2"/>
      <c r="AL104" s="3"/>
    </row>
    <row r="105" spans="1:38" ht="18.75" customHeight="1">
      <c r="A105" s="164" t="s">
        <v>6</v>
      </c>
      <c r="B105" s="6" t="s">
        <v>10</v>
      </c>
      <c r="C105" s="17">
        <v>15</v>
      </c>
      <c r="D105" s="19">
        <f>6683.2/15</f>
        <v>445.5466666666667</v>
      </c>
      <c r="E105" s="50"/>
      <c r="F105" s="11"/>
      <c r="G105" s="11"/>
      <c r="H105" s="17">
        <v>17</v>
      </c>
      <c r="I105" s="19">
        <f>10001/17</f>
        <v>588.2941176470588</v>
      </c>
      <c r="J105" s="21"/>
      <c r="K105" s="12"/>
      <c r="L105" s="9"/>
      <c r="M105" s="17">
        <v>22</v>
      </c>
      <c r="N105" s="19">
        <f>17322.22/22</f>
        <v>787.3736363636364</v>
      </c>
      <c r="O105" s="87"/>
      <c r="P105" s="87"/>
      <c r="Q105" s="87"/>
      <c r="R105" s="17">
        <v>20</v>
      </c>
      <c r="S105" s="19">
        <f>14406/20</f>
        <v>720.3</v>
      </c>
      <c r="T105" s="87"/>
      <c r="U105" s="87"/>
      <c r="V105" s="87"/>
      <c r="W105" s="17"/>
      <c r="X105" s="19"/>
      <c r="Y105" s="87"/>
      <c r="Z105" s="87"/>
      <c r="AA105" s="87"/>
      <c r="AB105" s="17"/>
      <c r="AC105" s="19"/>
      <c r="AD105" s="87"/>
      <c r="AE105" s="87"/>
      <c r="AF105" s="87"/>
      <c r="AG105" s="87"/>
      <c r="AH105" s="87"/>
      <c r="AI105" s="87"/>
      <c r="AJ105" s="87"/>
      <c r="AK105" s="87"/>
      <c r="AL105" s="87"/>
    </row>
    <row r="106" spans="1:38" ht="18.75" customHeight="1">
      <c r="A106" s="164"/>
      <c r="B106" s="6" t="s">
        <v>11</v>
      </c>
      <c r="C106" s="17">
        <v>105</v>
      </c>
      <c r="D106" s="19">
        <f>103278.4/105</f>
        <v>983.6038095238094</v>
      </c>
      <c r="E106" s="50"/>
      <c r="F106" s="11"/>
      <c r="G106" s="11"/>
      <c r="H106" s="17">
        <v>122</v>
      </c>
      <c r="I106" s="19">
        <f>91653.37/122</f>
        <v>751.2571311475409</v>
      </c>
      <c r="J106" s="21"/>
      <c r="K106" s="12"/>
      <c r="L106" s="9"/>
      <c r="M106" s="17">
        <v>133</v>
      </c>
      <c r="N106" s="19">
        <f>133176.74/133</f>
        <v>1001.3288721804511</v>
      </c>
      <c r="O106" s="87"/>
      <c r="P106" s="87"/>
      <c r="Q106" s="87"/>
      <c r="R106" s="17">
        <v>134</v>
      </c>
      <c r="S106" s="19">
        <f>130452.88/134</f>
        <v>973.5289552238806</v>
      </c>
      <c r="T106" s="87"/>
      <c r="U106" s="87"/>
      <c r="V106" s="87"/>
      <c r="W106" s="17">
        <v>124</v>
      </c>
      <c r="X106" s="19">
        <f>120264.9/124</f>
        <v>969.8782258064516</v>
      </c>
      <c r="Y106" s="87"/>
      <c r="Z106" s="87"/>
      <c r="AA106" s="87"/>
      <c r="AB106" s="17">
        <v>183</v>
      </c>
      <c r="AC106" s="19">
        <f>136001.59/AB106</f>
        <v>743.1780874316939</v>
      </c>
      <c r="AD106" s="87"/>
      <c r="AE106" s="87"/>
      <c r="AF106" s="87"/>
      <c r="AG106" s="17">
        <v>192</v>
      </c>
      <c r="AH106" s="17"/>
      <c r="AI106" s="19">
        <f>117604.84/AG106</f>
        <v>612.5252083333334</v>
      </c>
      <c r="AJ106" s="87"/>
      <c r="AK106" s="87"/>
      <c r="AL106" s="87"/>
    </row>
    <row r="107" spans="1:38" ht="18.75" customHeight="1">
      <c r="A107" s="164"/>
      <c r="B107" s="6" t="s">
        <v>12</v>
      </c>
      <c r="C107" s="17">
        <v>5</v>
      </c>
      <c r="D107" s="19">
        <f>1394.76/5</f>
        <v>278.952</v>
      </c>
      <c r="E107" s="50"/>
      <c r="F107" s="11"/>
      <c r="G107" s="11"/>
      <c r="H107" s="17">
        <v>11</v>
      </c>
      <c r="I107" s="19">
        <f>3886.65/11</f>
        <v>353.33181818181816</v>
      </c>
      <c r="J107" s="21"/>
      <c r="K107" s="13"/>
      <c r="L107" s="9"/>
      <c r="M107" s="17">
        <v>16</v>
      </c>
      <c r="N107" s="19">
        <f>7445.63/16</f>
        <v>465.351875</v>
      </c>
      <c r="O107" s="87"/>
      <c r="P107" s="87"/>
      <c r="Q107" s="87"/>
      <c r="R107" s="17">
        <v>18</v>
      </c>
      <c r="S107" s="19">
        <f>10640/18</f>
        <v>591.1111111111111</v>
      </c>
      <c r="T107" s="87"/>
      <c r="U107" s="87"/>
      <c r="V107" s="87"/>
      <c r="W107" s="17"/>
      <c r="X107" s="19"/>
      <c r="Y107" s="87"/>
      <c r="Z107" s="87"/>
      <c r="AA107" s="87"/>
      <c r="AB107" s="17"/>
      <c r="AC107" s="19"/>
      <c r="AD107" s="87"/>
      <c r="AE107" s="87"/>
      <c r="AF107" s="87"/>
      <c r="AG107" s="17"/>
      <c r="AH107" s="17"/>
      <c r="AI107" s="87"/>
      <c r="AJ107" s="87"/>
      <c r="AK107" s="87"/>
      <c r="AL107" s="87"/>
    </row>
    <row r="108" spans="1:38" ht="18.75" customHeight="1">
      <c r="A108" s="164"/>
      <c r="B108" s="6" t="s">
        <v>13</v>
      </c>
      <c r="C108" s="17">
        <v>46</v>
      </c>
      <c r="D108" s="19">
        <f>41104.8/46</f>
        <v>893.5826086956522</v>
      </c>
      <c r="E108" s="50"/>
      <c r="F108" s="11"/>
      <c r="G108" s="11"/>
      <c r="H108" s="17">
        <v>42</v>
      </c>
      <c r="I108" s="19">
        <f>25792.29/42</f>
        <v>614.1021428571429</v>
      </c>
      <c r="J108" s="21"/>
      <c r="K108" s="12"/>
      <c r="L108" s="9"/>
      <c r="M108" s="17">
        <v>37</v>
      </c>
      <c r="N108" s="19">
        <f>34645.72/37</f>
        <v>936.3708108108109</v>
      </c>
      <c r="O108" s="87"/>
      <c r="P108" s="87"/>
      <c r="Q108" s="87"/>
      <c r="R108" s="17">
        <v>40</v>
      </c>
      <c r="S108" s="19">
        <f>32333.29/40</f>
        <v>808.33225</v>
      </c>
      <c r="T108" s="87"/>
      <c r="U108" s="87"/>
      <c r="V108" s="87"/>
      <c r="W108" s="17"/>
      <c r="X108" s="19"/>
      <c r="Y108" s="87"/>
      <c r="Z108" s="87"/>
      <c r="AA108" s="87"/>
      <c r="AB108" s="17"/>
      <c r="AC108" s="19"/>
      <c r="AD108" s="87"/>
      <c r="AE108" s="87"/>
      <c r="AF108" s="87"/>
      <c r="AG108" s="17"/>
      <c r="AH108" s="17"/>
      <c r="AI108" s="87"/>
      <c r="AJ108" s="87"/>
      <c r="AK108" s="87"/>
      <c r="AL108" s="87"/>
    </row>
    <row r="109" spans="1:38" ht="18.75" customHeight="1">
      <c r="A109" s="164"/>
      <c r="B109" s="6" t="s">
        <v>14</v>
      </c>
      <c r="C109" s="17">
        <v>20</v>
      </c>
      <c r="D109" s="19">
        <f>18089.96/20</f>
        <v>904.4979999999999</v>
      </c>
      <c r="E109" s="50"/>
      <c r="F109" s="11"/>
      <c r="G109" s="11"/>
      <c r="H109" s="17">
        <v>21</v>
      </c>
      <c r="I109" s="19">
        <f>17302.77/21</f>
        <v>823.9414285714286</v>
      </c>
      <c r="J109" s="21"/>
      <c r="K109" s="12"/>
      <c r="L109" s="9"/>
      <c r="M109" s="17">
        <v>27</v>
      </c>
      <c r="N109" s="19">
        <f>20722.18/27</f>
        <v>767.4881481481482</v>
      </c>
      <c r="O109" s="87"/>
      <c r="P109" s="87"/>
      <c r="Q109" s="87"/>
      <c r="R109" s="17">
        <v>30</v>
      </c>
      <c r="S109" s="19">
        <f>25098.62/30</f>
        <v>836.6206666666666</v>
      </c>
      <c r="T109" s="87"/>
      <c r="U109" s="87"/>
      <c r="V109" s="87"/>
      <c r="W109" s="17">
        <v>16</v>
      </c>
      <c r="X109" s="19">
        <f>22596.14/16</f>
        <v>1412.25875</v>
      </c>
      <c r="Y109" s="87"/>
      <c r="Z109" s="87"/>
      <c r="AA109" s="87"/>
      <c r="AB109" s="17">
        <v>19</v>
      </c>
      <c r="AC109" s="19">
        <f>26409.62/19</f>
        <v>1389.98</v>
      </c>
      <c r="AD109" s="87"/>
      <c r="AE109" s="87"/>
      <c r="AF109" s="87"/>
      <c r="AG109" s="17">
        <v>23</v>
      </c>
      <c r="AH109" s="17"/>
      <c r="AI109" s="19">
        <f>19257.31/AG109</f>
        <v>837.274347826087</v>
      </c>
      <c r="AJ109" s="87"/>
      <c r="AK109" s="87"/>
      <c r="AL109" s="87"/>
    </row>
    <row r="110" spans="1:38" ht="18.75" customHeight="1">
      <c r="A110" s="164"/>
      <c r="B110" s="6" t="s">
        <v>15</v>
      </c>
      <c r="C110" s="17">
        <v>7</v>
      </c>
      <c r="D110" s="19">
        <f>3897.24/7</f>
        <v>556.7485714285714</v>
      </c>
      <c r="E110" s="50"/>
      <c r="F110" s="11"/>
      <c r="G110" s="11"/>
      <c r="H110" s="17">
        <v>8</v>
      </c>
      <c r="I110" s="19">
        <f>3817.05/8</f>
        <v>477.13125</v>
      </c>
      <c r="J110" s="21"/>
      <c r="K110" s="12"/>
      <c r="L110" s="9"/>
      <c r="M110" s="17">
        <v>9</v>
      </c>
      <c r="N110" s="19">
        <f>3200/9</f>
        <v>355.55555555555554</v>
      </c>
      <c r="O110" s="87"/>
      <c r="P110" s="87"/>
      <c r="Q110" s="87"/>
      <c r="R110" s="17">
        <v>8</v>
      </c>
      <c r="S110" s="19">
        <f>1845/8</f>
        <v>230.625</v>
      </c>
      <c r="T110" s="87"/>
      <c r="U110" s="87"/>
      <c r="V110" s="87"/>
      <c r="W110" s="17"/>
      <c r="X110" s="19"/>
      <c r="Y110" s="87"/>
      <c r="Z110" s="87"/>
      <c r="AA110" s="87"/>
      <c r="AB110" s="17"/>
      <c r="AC110" s="19"/>
      <c r="AD110" s="87"/>
      <c r="AE110" s="87"/>
      <c r="AF110" s="87"/>
      <c r="AG110" s="17"/>
      <c r="AH110" s="17"/>
      <c r="AI110" s="87"/>
      <c r="AJ110" s="87"/>
      <c r="AK110" s="87"/>
      <c r="AL110" s="87"/>
    </row>
    <row r="111" spans="1:38" ht="18.75" customHeight="1">
      <c r="A111" s="164"/>
      <c r="B111" s="6" t="s">
        <v>16</v>
      </c>
      <c r="C111" s="17">
        <v>43</v>
      </c>
      <c r="D111" s="19">
        <f>30739.03/43</f>
        <v>714.8611627906977</v>
      </c>
      <c r="E111" s="50"/>
      <c r="F111" s="11"/>
      <c r="G111" s="11"/>
      <c r="H111" s="17">
        <v>37</v>
      </c>
      <c r="I111" s="19">
        <f>29120.7/37</f>
        <v>787.045945945946</v>
      </c>
      <c r="J111" s="21"/>
      <c r="K111" s="12"/>
      <c r="L111" s="9"/>
      <c r="M111" s="17">
        <v>38</v>
      </c>
      <c r="N111" s="19">
        <f>20452.53/38</f>
        <v>538.2244736842105</v>
      </c>
      <c r="O111" s="87"/>
      <c r="P111" s="87"/>
      <c r="Q111" s="87"/>
      <c r="R111" s="17">
        <v>33</v>
      </c>
      <c r="S111" s="19">
        <f>17998.6/33</f>
        <v>545.4121212121212</v>
      </c>
      <c r="T111" s="87"/>
      <c r="U111" s="87"/>
      <c r="V111" s="87"/>
      <c r="W111" s="17">
        <v>27</v>
      </c>
      <c r="X111" s="19">
        <f>11404.4/27</f>
        <v>422.38518518518515</v>
      </c>
      <c r="Y111" s="87"/>
      <c r="Z111" s="87"/>
      <c r="AA111" s="87"/>
      <c r="AB111" s="17">
        <v>28</v>
      </c>
      <c r="AC111" s="19">
        <f>12630.18/AB111</f>
        <v>451.07785714285717</v>
      </c>
      <c r="AD111" s="87"/>
      <c r="AE111" s="87"/>
      <c r="AF111" s="87"/>
      <c r="AG111" s="17">
        <v>34</v>
      </c>
      <c r="AH111" s="17"/>
      <c r="AI111" s="19">
        <f>15166.56/AG111</f>
        <v>446.07529411764705</v>
      </c>
      <c r="AJ111" s="87"/>
      <c r="AK111" s="87"/>
      <c r="AL111" s="87"/>
    </row>
    <row r="112" spans="1:38" ht="18.75" customHeight="1">
      <c r="A112" s="164"/>
      <c r="B112" s="6" t="s">
        <v>17</v>
      </c>
      <c r="C112" s="17">
        <v>6</v>
      </c>
      <c r="D112" s="19">
        <f>5455.32/6</f>
        <v>909.2199999999999</v>
      </c>
      <c r="E112" s="50"/>
      <c r="F112" s="11"/>
      <c r="G112" s="11"/>
      <c r="H112" s="17">
        <v>6</v>
      </c>
      <c r="I112" s="19">
        <f>6310.43/6</f>
        <v>1051.7383333333335</v>
      </c>
      <c r="J112" s="21"/>
      <c r="K112" s="12"/>
      <c r="L112" s="9"/>
      <c r="M112" s="17">
        <v>4</v>
      </c>
      <c r="N112" s="19">
        <f>4159.3/4</f>
        <v>1039.825</v>
      </c>
      <c r="O112" s="87"/>
      <c r="P112" s="87"/>
      <c r="Q112" s="87"/>
      <c r="R112" s="17">
        <v>7</v>
      </c>
      <c r="S112" s="19">
        <f>4428.06/7</f>
        <v>632.58</v>
      </c>
      <c r="T112" s="87"/>
      <c r="U112" s="87"/>
      <c r="V112" s="87"/>
      <c r="W112" s="17"/>
      <c r="X112" s="19"/>
      <c r="Y112" s="87"/>
      <c r="Z112" s="87"/>
      <c r="AA112" s="87"/>
      <c r="AB112" s="17"/>
      <c r="AC112" s="19"/>
      <c r="AD112" s="87"/>
      <c r="AE112" s="87"/>
      <c r="AF112" s="87"/>
      <c r="AG112" s="17"/>
      <c r="AH112" s="17"/>
      <c r="AI112" s="87"/>
      <c r="AJ112" s="87"/>
      <c r="AK112" s="87"/>
      <c r="AL112" s="87"/>
    </row>
    <row r="113" spans="1:38" ht="18.75" customHeight="1">
      <c r="A113" s="164"/>
      <c r="B113" s="6" t="s">
        <v>90</v>
      </c>
      <c r="C113" s="17"/>
      <c r="D113" s="19"/>
      <c r="E113" s="50"/>
      <c r="F113" s="11"/>
      <c r="G113" s="11"/>
      <c r="H113" s="17"/>
      <c r="I113" s="19"/>
      <c r="J113" s="21"/>
      <c r="K113" s="12"/>
      <c r="L113" s="9"/>
      <c r="M113" s="17"/>
      <c r="N113" s="19"/>
      <c r="O113" s="87"/>
      <c r="P113" s="87"/>
      <c r="Q113" s="87"/>
      <c r="R113" s="17"/>
      <c r="S113" s="19"/>
      <c r="T113" s="87"/>
      <c r="U113" s="87"/>
      <c r="V113" s="87"/>
      <c r="W113" s="17">
        <v>115</v>
      </c>
      <c r="X113" s="19">
        <f>69356.2/115</f>
        <v>603.0973913043478</v>
      </c>
      <c r="Y113" s="87"/>
      <c r="Z113" s="87"/>
      <c r="AA113" s="87"/>
      <c r="AB113" s="17">
        <v>94</v>
      </c>
      <c r="AC113" s="19">
        <f>54186.72/AB113</f>
        <v>576.4544680851064</v>
      </c>
      <c r="AD113" s="87"/>
      <c r="AE113" s="87"/>
      <c r="AF113" s="87"/>
      <c r="AG113" s="17">
        <v>88</v>
      </c>
      <c r="AH113" s="17"/>
      <c r="AI113" s="19">
        <f>52149.94/AG113</f>
        <v>592.6129545454546</v>
      </c>
      <c r="AJ113" s="87"/>
      <c r="AK113" s="87"/>
      <c r="AL113" s="87"/>
    </row>
    <row r="114" spans="1:38" ht="18.75" customHeight="1">
      <c r="A114" s="164"/>
      <c r="B114" s="6" t="s">
        <v>18</v>
      </c>
      <c r="C114" s="17">
        <v>55</v>
      </c>
      <c r="D114" s="19">
        <f>94969.32/55</f>
        <v>1726.7149090909093</v>
      </c>
      <c r="E114" s="50"/>
      <c r="F114" s="11"/>
      <c r="G114" s="11"/>
      <c r="H114" s="17">
        <v>51</v>
      </c>
      <c r="I114" s="19">
        <f>102281.55/51</f>
        <v>2005.520588235294</v>
      </c>
      <c r="J114" s="21"/>
      <c r="K114" s="12"/>
      <c r="L114" s="9"/>
      <c r="M114" s="17">
        <v>56</v>
      </c>
      <c r="N114" s="19">
        <f>72317.36/56</f>
        <v>1291.3814285714286</v>
      </c>
      <c r="O114" s="87"/>
      <c r="P114" s="87"/>
      <c r="Q114" s="87"/>
      <c r="R114" s="17">
        <v>48</v>
      </c>
      <c r="S114" s="19">
        <f>68182.8/48</f>
        <v>1420.4750000000001</v>
      </c>
      <c r="T114" s="87"/>
      <c r="U114" s="87"/>
      <c r="V114" s="87"/>
      <c r="W114" s="17">
        <v>56</v>
      </c>
      <c r="X114" s="19">
        <f>69486.18/56</f>
        <v>1240.8246428571426</v>
      </c>
      <c r="Y114" s="87"/>
      <c r="Z114" s="87"/>
      <c r="AA114" s="87"/>
      <c r="AB114" s="17">
        <v>77</v>
      </c>
      <c r="AC114" s="19">
        <f>57574.33/AB114</f>
        <v>747.7185714285714</v>
      </c>
      <c r="AD114" s="87"/>
      <c r="AE114" s="87"/>
      <c r="AF114" s="87"/>
      <c r="AG114" s="17">
        <v>75</v>
      </c>
      <c r="AH114" s="17"/>
      <c r="AI114" s="19">
        <f>49142.66/AG114</f>
        <v>655.2354666666668</v>
      </c>
      <c r="AJ114" s="87"/>
      <c r="AK114" s="87"/>
      <c r="AL114" s="87"/>
    </row>
    <row r="115" spans="1:38" ht="18.75" customHeight="1">
      <c r="A115" s="164"/>
      <c r="B115" s="6" t="s">
        <v>66</v>
      </c>
      <c r="C115" s="17"/>
      <c r="D115" s="19"/>
      <c r="E115" s="50"/>
      <c r="F115" s="11"/>
      <c r="G115" s="11"/>
      <c r="H115" s="17">
        <v>3</v>
      </c>
      <c r="I115" s="19">
        <f>3020/3</f>
        <v>1006.6666666666666</v>
      </c>
      <c r="J115" s="21"/>
      <c r="K115" s="12"/>
      <c r="L115" s="9"/>
      <c r="M115" s="17">
        <v>2</v>
      </c>
      <c r="N115" s="19">
        <f>2800/2</f>
        <v>1400</v>
      </c>
      <c r="O115" s="87"/>
      <c r="P115" s="87"/>
      <c r="Q115" s="87"/>
      <c r="R115" s="17"/>
      <c r="S115" s="19"/>
      <c r="T115" s="87"/>
      <c r="U115" s="87"/>
      <c r="V115" s="87"/>
      <c r="W115" s="17"/>
      <c r="X115" s="19"/>
      <c r="Y115" s="87"/>
      <c r="Z115" s="87"/>
      <c r="AA115" s="87"/>
      <c r="AB115" s="17"/>
      <c r="AC115" s="19"/>
      <c r="AD115" s="87"/>
      <c r="AE115" s="87"/>
      <c r="AF115" s="87"/>
      <c r="AG115" s="87"/>
      <c r="AH115" s="87"/>
      <c r="AI115" s="87"/>
      <c r="AJ115" s="87"/>
      <c r="AK115" s="87"/>
      <c r="AL115" s="87"/>
    </row>
    <row r="116" spans="1:38" ht="18.75" customHeight="1">
      <c r="A116" s="164"/>
      <c r="B116" s="69" t="s">
        <v>19</v>
      </c>
      <c r="C116" s="18">
        <f>SUM(C105:C115)</f>
        <v>302</v>
      </c>
      <c r="D116" s="20">
        <v>1011.96</v>
      </c>
      <c r="E116" s="49"/>
      <c r="F116" s="5"/>
      <c r="G116" s="5"/>
      <c r="H116" s="18">
        <f>SUM(H105:H115)</f>
        <v>318</v>
      </c>
      <c r="I116" s="20">
        <v>921.97</v>
      </c>
      <c r="J116" s="40"/>
      <c r="K116" s="2"/>
      <c r="L116" s="3"/>
      <c r="M116" s="18">
        <f>SUM(M105:M115)</f>
        <v>344</v>
      </c>
      <c r="N116" s="20">
        <f>316241.68/344</f>
        <v>919.3072093023255</v>
      </c>
      <c r="O116" s="3"/>
      <c r="P116" s="3"/>
      <c r="Q116" s="3"/>
      <c r="R116" s="18">
        <f>SUM(R105:R115)</f>
        <v>338</v>
      </c>
      <c r="S116" s="20">
        <f>305385.25/338</f>
        <v>903.5066568047338</v>
      </c>
      <c r="T116" s="3"/>
      <c r="U116" s="3"/>
      <c r="V116" s="3"/>
      <c r="W116" s="18">
        <f>SUM(W105:W115)</f>
        <v>338</v>
      </c>
      <c r="X116" s="20">
        <f>293107.82/338</f>
        <v>867.182899408284</v>
      </c>
      <c r="Y116" s="3"/>
      <c r="Z116" s="3"/>
      <c r="AA116" s="3"/>
      <c r="AB116" s="18">
        <f>SUM(AB105:AB115)</f>
        <v>401</v>
      </c>
      <c r="AC116" s="20">
        <f>286802.44/401</f>
        <v>715.2180548628429</v>
      </c>
      <c r="AD116" s="3"/>
      <c r="AE116" s="3"/>
      <c r="AF116" s="3"/>
      <c r="AG116" s="128">
        <f>SUM(AG105:AG115)</f>
        <v>412</v>
      </c>
      <c r="AH116" s="128"/>
      <c r="AI116" s="3">
        <f>253321.31/412</f>
        <v>614.8575485436893</v>
      </c>
      <c r="AJ116" s="3"/>
      <c r="AK116" s="3"/>
      <c r="AL116" s="3"/>
    </row>
    <row r="117" spans="1:38" ht="18" customHeight="1">
      <c r="A117" s="164" t="s">
        <v>24</v>
      </c>
      <c r="B117" s="6" t="s">
        <v>10</v>
      </c>
      <c r="C117" s="17">
        <v>9</v>
      </c>
      <c r="D117" s="19">
        <f>2847/9</f>
        <v>316.3333333333333</v>
      </c>
      <c r="E117" s="50"/>
      <c r="F117" s="11"/>
      <c r="G117" s="11"/>
      <c r="H117" s="17">
        <v>5</v>
      </c>
      <c r="I117" s="19">
        <f>1947.8/5</f>
        <v>389.56</v>
      </c>
      <c r="J117" s="21"/>
      <c r="K117" s="12"/>
      <c r="L117" s="9"/>
      <c r="M117" s="45">
        <v>4</v>
      </c>
      <c r="N117" s="19">
        <f>1008/4</f>
        <v>252</v>
      </c>
      <c r="O117" s="87"/>
      <c r="P117" s="87"/>
      <c r="Q117" s="87"/>
      <c r="R117" s="45"/>
      <c r="S117" s="19"/>
      <c r="T117" s="87"/>
      <c r="U117" s="87"/>
      <c r="V117" s="87"/>
      <c r="W117" s="45"/>
      <c r="X117" s="19"/>
      <c r="Y117" s="87"/>
      <c r="Z117" s="87"/>
      <c r="AA117" s="87"/>
      <c r="AB117" s="45"/>
      <c r="AC117" s="19"/>
      <c r="AD117" s="87"/>
      <c r="AE117" s="87"/>
      <c r="AF117" s="87"/>
      <c r="AG117" s="87"/>
      <c r="AH117" s="87"/>
      <c r="AI117" s="87"/>
      <c r="AJ117" s="87"/>
      <c r="AK117" s="87"/>
      <c r="AL117" s="87"/>
    </row>
    <row r="118" spans="1:38" ht="18" customHeight="1">
      <c r="A118" s="164"/>
      <c r="B118" s="6" t="s">
        <v>11</v>
      </c>
      <c r="C118" s="17">
        <v>20</v>
      </c>
      <c r="D118" s="19">
        <f>9706.45/20</f>
        <v>485.32250000000005</v>
      </c>
      <c r="E118" s="50"/>
      <c r="F118" s="11"/>
      <c r="G118" s="11"/>
      <c r="H118" s="17">
        <v>14</v>
      </c>
      <c r="I118" s="19">
        <f>5975.1/14</f>
        <v>426.79285714285714</v>
      </c>
      <c r="J118" s="21"/>
      <c r="K118" s="12"/>
      <c r="L118" s="9"/>
      <c r="M118" s="45">
        <v>8</v>
      </c>
      <c r="N118" s="19">
        <f>2663/8</f>
        <v>332.875</v>
      </c>
      <c r="O118" s="87"/>
      <c r="P118" s="87"/>
      <c r="Q118" s="87"/>
      <c r="R118" s="45"/>
      <c r="S118" s="19"/>
      <c r="T118" s="87"/>
      <c r="U118" s="87"/>
      <c r="V118" s="87"/>
      <c r="W118" s="45"/>
      <c r="X118" s="19"/>
      <c r="Y118" s="87"/>
      <c r="Z118" s="87"/>
      <c r="AA118" s="87"/>
      <c r="AB118" s="45"/>
      <c r="AC118" s="19"/>
      <c r="AD118" s="87"/>
      <c r="AE118" s="87"/>
      <c r="AF118" s="87"/>
      <c r="AG118" s="87"/>
      <c r="AH118" s="87"/>
      <c r="AI118" s="87"/>
      <c r="AJ118" s="87"/>
      <c r="AK118" s="87"/>
      <c r="AL118" s="87"/>
    </row>
    <row r="119" spans="1:38" ht="18" customHeight="1">
      <c r="A119" s="164"/>
      <c r="B119" s="6" t="s">
        <v>12</v>
      </c>
      <c r="C119" s="17">
        <v>2</v>
      </c>
      <c r="D119" s="19">
        <f>873.4/2</f>
        <v>436.7</v>
      </c>
      <c r="E119" s="50"/>
      <c r="F119" s="11"/>
      <c r="G119" s="11"/>
      <c r="H119" s="17"/>
      <c r="I119" s="19"/>
      <c r="J119" s="21"/>
      <c r="K119" s="13"/>
      <c r="L119" s="9"/>
      <c r="M119" s="45">
        <v>1</v>
      </c>
      <c r="N119" s="19">
        <v>270</v>
      </c>
      <c r="O119" s="87"/>
      <c r="P119" s="87"/>
      <c r="Q119" s="87"/>
      <c r="R119" s="45"/>
      <c r="S119" s="19"/>
      <c r="T119" s="87"/>
      <c r="U119" s="87"/>
      <c r="V119" s="87"/>
      <c r="W119" s="45"/>
      <c r="X119" s="19"/>
      <c r="Y119" s="87"/>
      <c r="Z119" s="87"/>
      <c r="AA119" s="87"/>
      <c r="AB119" s="45"/>
      <c r="AC119" s="19"/>
      <c r="AD119" s="87"/>
      <c r="AE119" s="87"/>
      <c r="AF119" s="87"/>
      <c r="AG119" s="87"/>
      <c r="AH119" s="87"/>
      <c r="AI119" s="87"/>
      <c r="AJ119" s="87"/>
      <c r="AK119" s="87"/>
      <c r="AL119" s="87"/>
    </row>
    <row r="120" spans="1:38" ht="18" customHeight="1">
      <c r="A120" s="164"/>
      <c r="B120" s="6" t="s">
        <v>13</v>
      </c>
      <c r="C120" s="17">
        <v>11</v>
      </c>
      <c r="D120" s="19">
        <f>4731.1/11</f>
        <v>430.1</v>
      </c>
      <c r="E120" s="50"/>
      <c r="F120" s="11"/>
      <c r="G120" s="11"/>
      <c r="H120" s="17">
        <v>10</v>
      </c>
      <c r="I120" s="19">
        <f>3043.6/10</f>
        <v>304.36</v>
      </c>
      <c r="J120" s="21"/>
      <c r="K120" s="12"/>
      <c r="L120" s="9"/>
      <c r="M120" s="45">
        <v>7</v>
      </c>
      <c r="N120" s="19">
        <f>2508/7</f>
        <v>358.2857142857143</v>
      </c>
      <c r="O120" s="87"/>
      <c r="P120" s="87"/>
      <c r="Q120" s="87"/>
      <c r="R120" s="45"/>
      <c r="S120" s="19"/>
      <c r="T120" s="87"/>
      <c r="U120" s="87"/>
      <c r="V120" s="87"/>
      <c r="W120" s="45"/>
      <c r="X120" s="19"/>
      <c r="Y120" s="87"/>
      <c r="Z120" s="87"/>
      <c r="AA120" s="87"/>
      <c r="AB120" s="45"/>
      <c r="AC120" s="19"/>
      <c r="AD120" s="87"/>
      <c r="AE120" s="87"/>
      <c r="AF120" s="87"/>
      <c r="AG120" s="87"/>
      <c r="AH120" s="87"/>
      <c r="AI120" s="87"/>
      <c r="AJ120" s="87"/>
      <c r="AK120" s="87"/>
      <c r="AL120" s="87"/>
    </row>
    <row r="121" spans="1:38" ht="18" customHeight="1">
      <c r="A121" s="164"/>
      <c r="B121" s="6" t="s">
        <v>14</v>
      </c>
      <c r="C121" s="17">
        <v>8</v>
      </c>
      <c r="D121" s="19">
        <f>3370.7/8</f>
        <v>421.3375</v>
      </c>
      <c r="E121" s="50"/>
      <c r="F121" s="11"/>
      <c r="G121" s="11"/>
      <c r="H121" s="17">
        <v>6</v>
      </c>
      <c r="I121" s="19">
        <f>2445.6/6</f>
        <v>407.59999999999997</v>
      </c>
      <c r="J121" s="21"/>
      <c r="K121" s="12"/>
      <c r="L121" s="9"/>
      <c r="M121" s="45">
        <v>7</v>
      </c>
      <c r="N121" s="19">
        <f>1356/7</f>
        <v>193.71428571428572</v>
      </c>
      <c r="O121" s="87"/>
      <c r="P121" s="87"/>
      <c r="Q121" s="87"/>
      <c r="R121" s="45"/>
      <c r="S121" s="19"/>
      <c r="T121" s="87"/>
      <c r="U121" s="87"/>
      <c r="V121" s="87"/>
      <c r="W121" s="45"/>
      <c r="X121" s="19"/>
      <c r="Y121" s="87"/>
      <c r="Z121" s="87"/>
      <c r="AA121" s="87"/>
      <c r="AB121" s="45"/>
      <c r="AC121" s="19"/>
      <c r="AD121" s="87"/>
      <c r="AE121" s="87"/>
      <c r="AF121" s="87"/>
      <c r="AG121" s="87"/>
      <c r="AH121" s="87"/>
      <c r="AI121" s="87"/>
      <c r="AJ121" s="87"/>
      <c r="AK121" s="87"/>
      <c r="AL121" s="87"/>
    </row>
    <row r="122" spans="1:38" ht="18" customHeight="1">
      <c r="A122" s="164"/>
      <c r="B122" s="6" t="s">
        <v>15</v>
      </c>
      <c r="C122" s="17">
        <v>4</v>
      </c>
      <c r="D122" s="19">
        <f>2756.5/4</f>
        <v>689.125</v>
      </c>
      <c r="E122" s="50"/>
      <c r="F122" s="11"/>
      <c r="G122" s="11"/>
      <c r="H122" s="17">
        <v>2</v>
      </c>
      <c r="I122" s="19">
        <f>603.3/2</f>
        <v>301.65</v>
      </c>
      <c r="J122" s="21"/>
      <c r="K122" s="12"/>
      <c r="L122" s="9"/>
      <c r="M122" s="45">
        <v>2</v>
      </c>
      <c r="N122" s="19">
        <f>288/2</f>
        <v>144</v>
      </c>
      <c r="O122" s="87"/>
      <c r="P122" s="87"/>
      <c r="Q122" s="87"/>
      <c r="R122" s="45"/>
      <c r="S122" s="19"/>
      <c r="T122" s="87"/>
      <c r="U122" s="87"/>
      <c r="V122" s="87"/>
      <c r="W122" s="45"/>
      <c r="X122" s="19"/>
      <c r="Y122" s="87"/>
      <c r="Z122" s="87"/>
      <c r="AA122" s="87"/>
      <c r="AB122" s="45"/>
      <c r="AC122" s="19"/>
      <c r="AD122" s="87"/>
      <c r="AE122" s="87"/>
      <c r="AF122" s="87"/>
      <c r="AG122" s="87"/>
      <c r="AH122" s="87"/>
      <c r="AI122" s="87"/>
      <c r="AJ122" s="87"/>
      <c r="AK122" s="87"/>
      <c r="AL122" s="87"/>
    </row>
    <row r="123" spans="1:38" ht="18" customHeight="1">
      <c r="A123" s="164"/>
      <c r="B123" s="6" t="s">
        <v>16</v>
      </c>
      <c r="C123" s="17">
        <v>5</v>
      </c>
      <c r="D123" s="19">
        <f>1191.4/5</f>
        <v>238.28000000000003</v>
      </c>
      <c r="E123" s="50"/>
      <c r="F123" s="11"/>
      <c r="G123" s="11"/>
      <c r="H123" s="17">
        <v>5</v>
      </c>
      <c r="I123" s="19">
        <f>2831.75/5</f>
        <v>566.35</v>
      </c>
      <c r="J123" s="21"/>
      <c r="K123" s="12"/>
      <c r="L123" s="9"/>
      <c r="M123" s="45">
        <v>4</v>
      </c>
      <c r="N123" s="19">
        <f>1987/4</f>
        <v>496.75</v>
      </c>
      <c r="O123" s="87"/>
      <c r="P123" s="87"/>
      <c r="Q123" s="87"/>
      <c r="R123" s="45"/>
      <c r="S123" s="19"/>
      <c r="T123" s="87"/>
      <c r="U123" s="87"/>
      <c r="V123" s="87"/>
      <c r="W123" s="45"/>
      <c r="X123" s="19"/>
      <c r="Y123" s="87"/>
      <c r="Z123" s="87"/>
      <c r="AA123" s="87"/>
      <c r="AB123" s="45"/>
      <c r="AC123" s="19"/>
      <c r="AD123" s="87"/>
      <c r="AE123" s="87"/>
      <c r="AF123" s="87"/>
      <c r="AG123" s="87"/>
      <c r="AH123" s="87"/>
      <c r="AI123" s="87"/>
      <c r="AJ123" s="87"/>
      <c r="AK123" s="87"/>
      <c r="AL123" s="87"/>
    </row>
    <row r="124" spans="1:38" ht="18" customHeight="1">
      <c r="A124" s="164"/>
      <c r="B124" s="6" t="s">
        <v>17</v>
      </c>
      <c r="C124" s="17">
        <v>2</v>
      </c>
      <c r="D124" s="19">
        <f>858.4/2</f>
        <v>429.2</v>
      </c>
      <c r="E124" s="50"/>
      <c r="F124" s="11"/>
      <c r="G124" s="11"/>
      <c r="H124" s="17">
        <v>1</v>
      </c>
      <c r="I124" s="19">
        <v>132</v>
      </c>
      <c r="J124" s="21"/>
      <c r="K124" s="12"/>
      <c r="L124" s="9"/>
      <c r="M124" s="45"/>
      <c r="N124" s="19"/>
      <c r="O124" s="87"/>
      <c r="P124" s="87"/>
      <c r="Q124" s="87"/>
      <c r="R124" s="45"/>
      <c r="S124" s="19"/>
      <c r="T124" s="87"/>
      <c r="U124" s="87"/>
      <c r="V124" s="87"/>
      <c r="W124" s="45"/>
      <c r="X124" s="19"/>
      <c r="Y124" s="87"/>
      <c r="Z124" s="87"/>
      <c r="AA124" s="87"/>
      <c r="AB124" s="45"/>
      <c r="AC124" s="19"/>
      <c r="AD124" s="87"/>
      <c r="AE124" s="87"/>
      <c r="AF124" s="87"/>
      <c r="AG124" s="87"/>
      <c r="AH124" s="87"/>
      <c r="AI124" s="87"/>
      <c r="AJ124" s="87"/>
      <c r="AK124" s="87"/>
      <c r="AL124" s="87"/>
    </row>
    <row r="125" spans="1:38" ht="18" customHeight="1">
      <c r="A125" s="164"/>
      <c r="B125" s="6" t="s">
        <v>18</v>
      </c>
      <c r="C125" s="17">
        <v>8</v>
      </c>
      <c r="D125" s="19">
        <f>4238.5/8</f>
        <v>529.8125</v>
      </c>
      <c r="E125" s="50"/>
      <c r="F125" s="11"/>
      <c r="G125" s="11"/>
      <c r="H125" s="17">
        <v>12</v>
      </c>
      <c r="I125" s="19">
        <f>4578.9/12</f>
        <v>381.575</v>
      </c>
      <c r="J125" s="21"/>
      <c r="K125" s="12"/>
      <c r="L125" s="9"/>
      <c r="M125" s="45">
        <v>7</v>
      </c>
      <c r="N125" s="19">
        <f>1623/7</f>
        <v>231.85714285714286</v>
      </c>
      <c r="O125" s="87"/>
      <c r="P125" s="87"/>
      <c r="Q125" s="87"/>
      <c r="R125" s="45"/>
      <c r="S125" s="19"/>
      <c r="T125" s="87"/>
      <c r="U125" s="87"/>
      <c r="V125" s="87"/>
      <c r="W125" s="45"/>
      <c r="X125" s="19"/>
      <c r="Y125" s="87"/>
      <c r="Z125" s="87"/>
      <c r="AA125" s="87"/>
      <c r="AB125" s="45"/>
      <c r="AC125" s="19"/>
      <c r="AD125" s="87"/>
      <c r="AE125" s="87"/>
      <c r="AF125" s="87"/>
      <c r="AG125" s="87"/>
      <c r="AH125" s="87"/>
      <c r="AI125" s="87"/>
      <c r="AJ125" s="87"/>
      <c r="AK125" s="87"/>
      <c r="AL125" s="87"/>
    </row>
    <row r="126" spans="1:38" ht="18" customHeight="1">
      <c r="A126" s="164"/>
      <c r="B126" s="69" t="s">
        <v>19</v>
      </c>
      <c r="C126" s="18">
        <f>SUM(C117:C125)</f>
        <v>69</v>
      </c>
      <c r="D126" s="20">
        <v>443.09</v>
      </c>
      <c r="E126" s="51"/>
      <c r="F126" s="5"/>
      <c r="G126" s="5"/>
      <c r="H126" s="18">
        <f>SUM(H117:H125)</f>
        <v>55</v>
      </c>
      <c r="I126" s="20">
        <v>391.96</v>
      </c>
      <c r="J126" s="40"/>
      <c r="K126" s="2"/>
      <c r="L126" s="3"/>
      <c r="M126" s="18">
        <f>SUM(M117:M125)</f>
        <v>40</v>
      </c>
      <c r="N126" s="20">
        <f>11703/40</f>
        <v>292.575</v>
      </c>
      <c r="O126" s="3"/>
      <c r="P126" s="3"/>
      <c r="Q126" s="3"/>
      <c r="R126" s="18"/>
      <c r="S126" s="20"/>
      <c r="T126" s="3"/>
      <c r="U126" s="3"/>
      <c r="V126" s="3"/>
      <c r="W126" s="18"/>
      <c r="X126" s="20"/>
      <c r="Y126" s="3"/>
      <c r="Z126" s="3"/>
      <c r="AA126" s="3"/>
      <c r="AB126" s="18"/>
      <c r="AC126" s="20"/>
      <c r="AD126" s="3"/>
      <c r="AE126" s="3"/>
      <c r="AF126" s="3"/>
      <c r="AG126" s="3"/>
      <c r="AH126" s="3"/>
      <c r="AI126" s="3"/>
      <c r="AJ126" s="3"/>
      <c r="AK126" s="3"/>
      <c r="AL126" s="3"/>
    </row>
    <row r="127" spans="1:38" ht="18" customHeight="1">
      <c r="A127" s="164" t="s">
        <v>65</v>
      </c>
      <c r="B127" s="6" t="s">
        <v>10</v>
      </c>
      <c r="C127" s="17"/>
      <c r="D127" s="19"/>
      <c r="E127" s="23"/>
      <c r="F127" s="11"/>
      <c r="G127" s="11"/>
      <c r="H127" s="17">
        <v>3</v>
      </c>
      <c r="I127" s="19">
        <f>6931.95/3</f>
        <v>2310.65</v>
      </c>
      <c r="J127" s="21"/>
      <c r="K127" s="12"/>
      <c r="L127" s="9"/>
      <c r="M127" s="45">
        <v>1</v>
      </c>
      <c r="N127" s="19">
        <v>695.6</v>
      </c>
      <c r="O127" s="87"/>
      <c r="P127" s="87"/>
      <c r="Q127" s="87"/>
      <c r="R127" s="45">
        <v>4</v>
      </c>
      <c r="S127" s="19">
        <f>2308.8/4</f>
        <v>577.2</v>
      </c>
      <c r="T127" s="87"/>
      <c r="U127" s="87"/>
      <c r="V127" s="87"/>
      <c r="W127" s="45"/>
      <c r="X127" s="19"/>
      <c r="Y127" s="87"/>
      <c r="Z127" s="87"/>
      <c r="AA127" s="87"/>
      <c r="AB127" s="45"/>
      <c r="AC127" s="19"/>
      <c r="AD127" s="87"/>
      <c r="AE127" s="87"/>
      <c r="AF127" s="87"/>
      <c r="AG127" s="87"/>
      <c r="AH127" s="87"/>
      <c r="AI127" s="87"/>
      <c r="AJ127" s="87"/>
      <c r="AK127" s="87"/>
      <c r="AL127" s="87"/>
    </row>
    <row r="128" spans="1:38" ht="18" customHeight="1">
      <c r="A128" s="164"/>
      <c r="B128" s="6" t="s">
        <v>11</v>
      </c>
      <c r="C128" s="17"/>
      <c r="D128" s="19"/>
      <c r="E128" s="23"/>
      <c r="F128" s="11"/>
      <c r="G128" s="11"/>
      <c r="H128" s="17">
        <v>10</v>
      </c>
      <c r="I128" s="19">
        <f>21923.06/10</f>
        <v>2192.306</v>
      </c>
      <c r="J128" s="21"/>
      <c r="K128" s="12"/>
      <c r="L128" s="9"/>
      <c r="M128" s="45">
        <v>12</v>
      </c>
      <c r="N128" s="19">
        <f>21417.9/12</f>
        <v>1784.825</v>
      </c>
      <c r="O128" s="87"/>
      <c r="P128" s="87"/>
      <c r="Q128" s="87"/>
      <c r="R128" s="45">
        <v>12</v>
      </c>
      <c r="S128" s="19">
        <f>24799.55/12</f>
        <v>2066.6291666666666</v>
      </c>
      <c r="T128" s="87"/>
      <c r="U128" s="87"/>
      <c r="V128" s="87"/>
      <c r="W128" s="45"/>
      <c r="X128" s="19"/>
      <c r="Y128" s="87"/>
      <c r="Z128" s="87"/>
      <c r="AA128" s="87"/>
      <c r="AB128" s="45"/>
      <c r="AC128" s="19"/>
      <c r="AD128" s="87"/>
      <c r="AE128" s="87"/>
      <c r="AF128" s="87"/>
      <c r="AG128" s="87"/>
      <c r="AH128" s="87"/>
      <c r="AI128" s="87"/>
      <c r="AJ128" s="87"/>
      <c r="AK128" s="87"/>
      <c r="AL128" s="87"/>
    </row>
    <row r="129" spans="1:38" ht="18" customHeight="1">
      <c r="A129" s="164"/>
      <c r="B129" s="6" t="s">
        <v>12</v>
      </c>
      <c r="C129" s="17"/>
      <c r="D129" s="19"/>
      <c r="E129" s="23"/>
      <c r="F129" s="11"/>
      <c r="G129" s="11"/>
      <c r="H129" s="17"/>
      <c r="I129" s="19"/>
      <c r="J129" s="21"/>
      <c r="K129" s="13"/>
      <c r="L129" s="9"/>
      <c r="M129" s="45"/>
      <c r="N129" s="19"/>
      <c r="O129" s="87"/>
      <c r="P129" s="87"/>
      <c r="Q129" s="87"/>
      <c r="R129" s="45">
        <v>0</v>
      </c>
      <c r="S129" s="19"/>
      <c r="T129" s="87"/>
      <c r="U129" s="87"/>
      <c r="V129" s="87"/>
      <c r="W129" s="45"/>
      <c r="X129" s="19"/>
      <c r="Y129" s="87"/>
      <c r="Z129" s="87"/>
      <c r="AA129" s="87"/>
      <c r="AB129" s="45"/>
      <c r="AC129" s="19"/>
      <c r="AD129" s="87"/>
      <c r="AE129" s="87"/>
      <c r="AF129" s="87"/>
      <c r="AG129" s="87"/>
      <c r="AH129" s="87"/>
      <c r="AI129" s="87"/>
      <c r="AJ129" s="87"/>
      <c r="AK129" s="87"/>
      <c r="AL129" s="87"/>
    </row>
    <row r="130" spans="1:38" ht="18" customHeight="1">
      <c r="A130" s="164"/>
      <c r="B130" s="6" t="s">
        <v>13</v>
      </c>
      <c r="C130" s="17"/>
      <c r="D130" s="19"/>
      <c r="E130" s="23"/>
      <c r="F130" s="11"/>
      <c r="G130" s="11"/>
      <c r="H130" s="17">
        <v>1</v>
      </c>
      <c r="I130" s="19">
        <v>1226.55</v>
      </c>
      <c r="J130" s="21"/>
      <c r="K130" s="12"/>
      <c r="L130" s="9"/>
      <c r="M130" s="45">
        <v>4</v>
      </c>
      <c r="N130" s="19">
        <f>4993.15/4</f>
        <v>1248.2875</v>
      </c>
      <c r="O130" s="87"/>
      <c r="P130" s="87"/>
      <c r="Q130" s="87"/>
      <c r="R130" s="45">
        <v>3</v>
      </c>
      <c r="S130" s="19">
        <f>4225.4/3</f>
        <v>1408.4666666666665</v>
      </c>
      <c r="T130" s="87"/>
      <c r="U130" s="87"/>
      <c r="V130" s="87"/>
      <c r="W130" s="45"/>
      <c r="X130" s="19"/>
      <c r="Y130" s="87"/>
      <c r="Z130" s="87"/>
      <c r="AA130" s="87"/>
      <c r="AB130" s="45"/>
      <c r="AC130" s="19"/>
      <c r="AD130" s="87"/>
      <c r="AE130" s="87"/>
      <c r="AF130" s="87"/>
      <c r="AG130" s="87"/>
      <c r="AH130" s="87"/>
      <c r="AI130" s="87"/>
      <c r="AJ130" s="87"/>
      <c r="AK130" s="87"/>
      <c r="AL130" s="87"/>
    </row>
    <row r="131" spans="1:38" ht="18" customHeight="1">
      <c r="A131" s="164"/>
      <c r="B131" s="6" t="s">
        <v>14</v>
      </c>
      <c r="C131" s="17"/>
      <c r="D131" s="19"/>
      <c r="E131" s="23"/>
      <c r="F131" s="11"/>
      <c r="G131" s="11"/>
      <c r="H131" s="17">
        <v>2</v>
      </c>
      <c r="I131" s="19">
        <f>666/2</f>
        <v>333</v>
      </c>
      <c r="J131" s="21"/>
      <c r="K131" s="12"/>
      <c r="L131" s="9"/>
      <c r="M131" s="45">
        <v>3</v>
      </c>
      <c r="N131" s="19">
        <f>3792.5/3</f>
        <v>1264.1666666666667</v>
      </c>
      <c r="O131" s="87"/>
      <c r="P131" s="87"/>
      <c r="Q131" s="87"/>
      <c r="R131" s="45">
        <v>1</v>
      </c>
      <c r="S131" s="19">
        <v>1050.8</v>
      </c>
      <c r="T131" s="87"/>
      <c r="U131" s="87"/>
      <c r="V131" s="87"/>
      <c r="W131" s="45"/>
      <c r="X131" s="19"/>
      <c r="Y131" s="87"/>
      <c r="Z131" s="87"/>
      <c r="AA131" s="87"/>
      <c r="AB131" s="45"/>
      <c r="AC131" s="19"/>
      <c r="AD131" s="87"/>
      <c r="AE131" s="87"/>
      <c r="AF131" s="87"/>
      <c r="AG131" s="87"/>
      <c r="AH131" s="87"/>
      <c r="AI131" s="87"/>
      <c r="AJ131" s="87"/>
      <c r="AK131" s="87"/>
      <c r="AL131" s="87"/>
    </row>
    <row r="132" spans="1:38" ht="18" customHeight="1">
      <c r="A132" s="164"/>
      <c r="B132" s="6" t="s">
        <v>15</v>
      </c>
      <c r="C132" s="17"/>
      <c r="D132" s="19"/>
      <c r="E132" s="23"/>
      <c r="F132" s="11"/>
      <c r="G132" s="11"/>
      <c r="H132" s="17">
        <v>5</v>
      </c>
      <c r="I132" s="19">
        <f>4932.1/5</f>
        <v>986.4200000000001</v>
      </c>
      <c r="J132" s="21"/>
      <c r="K132" s="12"/>
      <c r="L132" s="9"/>
      <c r="M132" s="45">
        <v>3</v>
      </c>
      <c r="N132" s="19">
        <f>3885/3</f>
        <v>1295</v>
      </c>
      <c r="O132" s="87"/>
      <c r="P132" s="87"/>
      <c r="Q132" s="87"/>
      <c r="R132" s="45">
        <v>3</v>
      </c>
      <c r="S132" s="19">
        <f>3439/3</f>
        <v>1146.3333333333333</v>
      </c>
      <c r="T132" s="87"/>
      <c r="U132" s="87"/>
      <c r="V132" s="87"/>
      <c r="W132" s="45"/>
      <c r="X132" s="19"/>
      <c r="Y132" s="87"/>
      <c r="Z132" s="87"/>
      <c r="AA132" s="87"/>
      <c r="AB132" s="45"/>
      <c r="AC132" s="19"/>
      <c r="AD132" s="87"/>
      <c r="AE132" s="87"/>
      <c r="AF132" s="87"/>
      <c r="AG132" s="87"/>
      <c r="AH132" s="87"/>
      <c r="AI132" s="87"/>
      <c r="AJ132" s="87"/>
      <c r="AK132" s="87"/>
      <c r="AL132" s="87"/>
    </row>
    <row r="133" spans="1:38" ht="18" customHeight="1">
      <c r="A133" s="164"/>
      <c r="B133" s="6" t="s">
        <v>16</v>
      </c>
      <c r="C133" s="17"/>
      <c r="D133" s="19"/>
      <c r="E133" s="23"/>
      <c r="F133" s="11"/>
      <c r="G133" s="11"/>
      <c r="H133" s="17">
        <v>5</v>
      </c>
      <c r="I133" s="19">
        <f>10648.6/5</f>
        <v>2129.7200000000003</v>
      </c>
      <c r="J133" s="21"/>
      <c r="K133" s="12"/>
      <c r="L133" s="9"/>
      <c r="M133" s="45">
        <v>5</v>
      </c>
      <c r="N133" s="19">
        <f>7116.95/5</f>
        <v>1423.3899999999999</v>
      </c>
      <c r="O133" s="87"/>
      <c r="P133" s="87"/>
      <c r="Q133" s="87"/>
      <c r="R133" s="45">
        <v>4</v>
      </c>
      <c r="S133" s="19">
        <f>4153.25/4</f>
        <v>1038.3125</v>
      </c>
      <c r="T133" s="87"/>
      <c r="U133" s="87"/>
      <c r="V133" s="87"/>
      <c r="W133" s="45"/>
      <c r="X133" s="19"/>
      <c r="Y133" s="87"/>
      <c r="Z133" s="87"/>
      <c r="AA133" s="87"/>
      <c r="AB133" s="45"/>
      <c r="AC133" s="19"/>
      <c r="AD133" s="87"/>
      <c r="AE133" s="87"/>
      <c r="AF133" s="87"/>
      <c r="AG133" s="87"/>
      <c r="AH133" s="87"/>
      <c r="AI133" s="87"/>
      <c r="AJ133" s="87"/>
      <c r="AK133" s="87"/>
      <c r="AL133" s="87"/>
    </row>
    <row r="134" spans="1:38" ht="18" customHeight="1">
      <c r="A134" s="164"/>
      <c r="B134" s="6" t="s">
        <v>17</v>
      </c>
      <c r="C134" s="17"/>
      <c r="D134" s="19"/>
      <c r="E134" s="23"/>
      <c r="F134" s="11"/>
      <c r="G134" s="11"/>
      <c r="H134" s="17">
        <v>2</v>
      </c>
      <c r="I134" s="19">
        <f>3089.5/2</f>
        <v>1544.75</v>
      </c>
      <c r="J134" s="21"/>
      <c r="K134" s="12"/>
      <c r="L134" s="9"/>
      <c r="M134" s="45">
        <v>1</v>
      </c>
      <c r="N134" s="19">
        <v>3481.7</v>
      </c>
      <c r="O134" s="87"/>
      <c r="P134" s="87"/>
      <c r="Q134" s="87"/>
      <c r="R134" s="45">
        <v>2</v>
      </c>
      <c r="S134" s="19">
        <f>2545.6/2</f>
        <v>1272.8</v>
      </c>
      <c r="T134" s="87"/>
      <c r="U134" s="87"/>
      <c r="V134" s="87"/>
      <c r="W134" s="45"/>
      <c r="X134" s="19"/>
      <c r="Y134" s="87"/>
      <c r="Z134" s="87"/>
      <c r="AA134" s="87"/>
      <c r="AB134" s="45"/>
      <c r="AC134" s="19"/>
      <c r="AD134" s="87"/>
      <c r="AE134" s="87"/>
      <c r="AF134" s="87"/>
      <c r="AG134" s="87"/>
      <c r="AH134" s="87"/>
      <c r="AI134" s="87"/>
      <c r="AJ134" s="87"/>
      <c r="AK134" s="87"/>
      <c r="AL134" s="87"/>
    </row>
    <row r="135" spans="1:38" ht="18" customHeight="1">
      <c r="A135" s="164"/>
      <c r="B135" s="6" t="s">
        <v>18</v>
      </c>
      <c r="C135" s="17"/>
      <c r="D135" s="19"/>
      <c r="E135" s="23"/>
      <c r="F135" s="11"/>
      <c r="G135" s="11"/>
      <c r="H135" s="17">
        <v>11</v>
      </c>
      <c r="I135" s="19">
        <f>21182.55/11</f>
        <v>1925.6863636363635</v>
      </c>
      <c r="J135" s="21"/>
      <c r="K135" s="12"/>
      <c r="L135" s="9"/>
      <c r="M135" s="45">
        <v>6</v>
      </c>
      <c r="N135" s="19">
        <f>9103/6</f>
        <v>1517.1666666666667</v>
      </c>
      <c r="O135" s="87"/>
      <c r="P135" s="87"/>
      <c r="Q135" s="87"/>
      <c r="R135" s="45">
        <v>6</v>
      </c>
      <c r="S135" s="19">
        <f>8972.5/6</f>
        <v>1495.4166666666667</v>
      </c>
      <c r="T135" s="87"/>
      <c r="U135" s="87"/>
      <c r="V135" s="87"/>
      <c r="W135" s="45"/>
      <c r="X135" s="19"/>
      <c r="Y135" s="87"/>
      <c r="Z135" s="87"/>
      <c r="AA135" s="87"/>
      <c r="AB135" s="45"/>
      <c r="AC135" s="19"/>
      <c r="AD135" s="87"/>
      <c r="AE135" s="87"/>
      <c r="AF135" s="87"/>
      <c r="AG135" s="87"/>
      <c r="AH135" s="87"/>
      <c r="AI135" s="87"/>
      <c r="AJ135" s="87"/>
      <c r="AK135" s="87"/>
      <c r="AL135" s="87"/>
    </row>
    <row r="136" spans="1:38" ht="18" customHeight="1">
      <c r="A136" s="164"/>
      <c r="B136" s="6" t="s">
        <v>66</v>
      </c>
      <c r="C136" s="17"/>
      <c r="D136" s="19"/>
      <c r="E136" s="23"/>
      <c r="F136" s="11"/>
      <c r="G136" s="11"/>
      <c r="H136" s="17">
        <v>1</v>
      </c>
      <c r="I136" s="19">
        <v>1809.3</v>
      </c>
      <c r="J136" s="21"/>
      <c r="K136" s="12"/>
      <c r="L136" s="9"/>
      <c r="M136" s="45"/>
      <c r="N136" s="19"/>
      <c r="O136" s="87"/>
      <c r="P136" s="87"/>
      <c r="Q136" s="87"/>
      <c r="R136" s="45"/>
      <c r="S136" s="19"/>
      <c r="T136" s="87"/>
      <c r="U136" s="87"/>
      <c r="V136" s="87"/>
      <c r="W136" s="45"/>
      <c r="X136" s="19"/>
      <c r="Y136" s="87"/>
      <c r="Z136" s="87"/>
      <c r="AA136" s="87"/>
      <c r="AB136" s="45"/>
      <c r="AC136" s="19"/>
      <c r="AD136" s="87"/>
      <c r="AE136" s="87"/>
      <c r="AF136" s="87"/>
      <c r="AG136" s="87"/>
      <c r="AH136" s="87"/>
      <c r="AI136" s="87"/>
      <c r="AJ136" s="87"/>
      <c r="AK136" s="87"/>
      <c r="AL136" s="87"/>
    </row>
    <row r="137" spans="1:38" ht="18" customHeight="1">
      <c r="A137" s="164"/>
      <c r="B137" s="69" t="s">
        <v>19</v>
      </c>
      <c r="C137" s="18"/>
      <c r="D137" s="20"/>
      <c r="E137" s="49"/>
      <c r="F137" s="5"/>
      <c r="G137" s="5"/>
      <c r="H137" s="18">
        <f>SUM(H127:H136)</f>
        <v>40</v>
      </c>
      <c r="I137" s="20">
        <v>1810.24</v>
      </c>
      <c r="J137" s="40"/>
      <c r="K137" s="2"/>
      <c r="L137" s="3"/>
      <c r="M137" s="18">
        <f>SUM(M127:M136)</f>
        <v>35</v>
      </c>
      <c r="N137" s="20">
        <f>54485.8/35</f>
        <v>1556.737142857143</v>
      </c>
      <c r="O137" s="3"/>
      <c r="P137" s="3"/>
      <c r="Q137" s="3"/>
      <c r="R137" s="18">
        <f>SUM(R127:R136)</f>
        <v>35</v>
      </c>
      <c r="S137" s="20">
        <f>51494.9/35</f>
        <v>1471.2828571428572</v>
      </c>
      <c r="T137" s="3"/>
      <c r="U137" s="3"/>
      <c r="V137" s="3"/>
      <c r="W137" s="18"/>
      <c r="X137" s="20"/>
      <c r="Y137" s="3"/>
      <c r="Z137" s="3"/>
      <c r="AA137" s="3"/>
      <c r="AB137" s="18"/>
      <c r="AC137" s="20"/>
      <c r="AD137" s="3"/>
      <c r="AE137" s="3"/>
      <c r="AF137" s="3"/>
      <c r="AG137" s="3"/>
      <c r="AH137" s="3"/>
      <c r="AI137" s="3"/>
      <c r="AJ137" s="3"/>
      <c r="AK137" s="3"/>
      <c r="AL137" s="3"/>
    </row>
    <row r="138" spans="1:38" ht="18" customHeight="1">
      <c r="A138" s="164" t="s">
        <v>85</v>
      </c>
      <c r="B138" s="6" t="s">
        <v>10</v>
      </c>
      <c r="C138" s="17"/>
      <c r="D138" s="19"/>
      <c r="E138" s="23"/>
      <c r="F138" s="11"/>
      <c r="G138" s="11"/>
      <c r="H138" s="17">
        <v>3</v>
      </c>
      <c r="I138" s="19">
        <f>6931.95/3</f>
        <v>2310.65</v>
      </c>
      <c r="J138" s="21"/>
      <c r="K138" s="12"/>
      <c r="L138" s="9"/>
      <c r="M138" s="45"/>
      <c r="N138" s="19"/>
      <c r="O138" s="87"/>
      <c r="P138" s="87"/>
      <c r="Q138" s="87"/>
      <c r="R138" s="45">
        <v>2</v>
      </c>
      <c r="S138" s="19">
        <f>760/2</f>
        <v>380</v>
      </c>
      <c r="T138" s="87"/>
      <c r="U138" s="87"/>
      <c r="V138" s="87"/>
      <c r="W138" s="45"/>
      <c r="X138" s="19"/>
      <c r="Y138" s="87"/>
      <c r="Z138" s="87"/>
      <c r="AA138" s="87"/>
      <c r="AB138" s="45"/>
      <c r="AC138" s="19"/>
      <c r="AD138" s="87"/>
      <c r="AE138" s="87"/>
      <c r="AF138" s="87"/>
      <c r="AG138" s="87"/>
      <c r="AH138" s="87"/>
      <c r="AI138" s="87"/>
      <c r="AJ138" s="87"/>
      <c r="AK138" s="87"/>
      <c r="AL138" s="87"/>
    </row>
    <row r="139" spans="1:38" ht="18" customHeight="1">
      <c r="A139" s="164"/>
      <c r="B139" s="6" t="s">
        <v>11</v>
      </c>
      <c r="C139" s="17"/>
      <c r="D139" s="19"/>
      <c r="E139" s="23"/>
      <c r="F139" s="11"/>
      <c r="G139" s="11"/>
      <c r="H139" s="17">
        <v>10</v>
      </c>
      <c r="I139" s="19">
        <f>21923.06/10</f>
        <v>2192.306</v>
      </c>
      <c r="J139" s="21"/>
      <c r="K139" s="12"/>
      <c r="L139" s="9"/>
      <c r="M139" s="45"/>
      <c r="N139" s="19"/>
      <c r="O139" s="87"/>
      <c r="P139" s="87"/>
      <c r="Q139" s="87"/>
      <c r="R139" s="45">
        <v>0</v>
      </c>
      <c r="S139" s="19">
        <v>0</v>
      </c>
      <c r="T139" s="87"/>
      <c r="U139" s="87"/>
      <c r="V139" s="87"/>
      <c r="W139" s="45">
        <v>1</v>
      </c>
      <c r="X139" s="19">
        <v>352.67</v>
      </c>
      <c r="Y139" s="87"/>
      <c r="Z139" s="87"/>
      <c r="AA139" s="87"/>
      <c r="AB139" s="45">
        <v>2</v>
      </c>
      <c r="AC139" s="19">
        <f>643.79/AB139</f>
        <v>321.895</v>
      </c>
      <c r="AD139" s="87"/>
      <c r="AE139" s="87"/>
      <c r="AF139" s="87"/>
      <c r="AG139" s="45">
        <v>1</v>
      </c>
      <c r="AH139" s="45"/>
      <c r="AI139" s="19">
        <f>870/AG139</f>
        <v>870</v>
      </c>
      <c r="AJ139" s="87"/>
      <c r="AK139" s="87"/>
      <c r="AL139" s="87"/>
    </row>
    <row r="140" spans="1:38" ht="18" customHeight="1">
      <c r="A140" s="164"/>
      <c r="B140" s="6" t="s">
        <v>12</v>
      </c>
      <c r="C140" s="17"/>
      <c r="D140" s="19"/>
      <c r="E140" s="23"/>
      <c r="F140" s="11"/>
      <c r="G140" s="11"/>
      <c r="H140" s="17"/>
      <c r="I140" s="19"/>
      <c r="J140" s="21"/>
      <c r="K140" s="13"/>
      <c r="L140" s="9"/>
      <c r="M140" s="45"/>
      <c r="N140" s="19"/>
      <c r="O140" s="87"/>
      <c r="P140" s="87"/>
      <c r="Q140" s="87"/>
      <c r="R140" s="45">
        <v>0</v>
      </c>
      <c r="S140" s="19">
        <v>0</v>
      </c>
      <c r="T140" s="87"/>
      <c r="U140" s="87"/>
      <c r="V140" s="87"/>
      <c r="W140" s="45"/>
      <c r="X140" s="19"/>
      <c r="Y140" s="87"/>
      <c r="Z140" s="87"/>
      <c r="AA140" s="87"/>
      <c r="AB140" s="45"/>
      <c r="AC140" s="19"/>
      <c r="AD140" s="87"/>
      <c r="AE140" s="87"/>
      <c r="AF140" s="87"/>
      <c r="AG140" s="45"/>
      <c r="AH140" s="45"/>
      <c r="AI140" s="87"/>
      <c r="AJ140" s="87"/>
      <c r="AK140" s="87"/>
      <c r="AL140" s="87"/>
    </row>
    <row r="141" spans="1:38" ht="18" customHeight="1">
      <c r="A141" s="164"/>
      <c r="B141" s="6" t="s">
        <v>13</v>
      </c>
      <c r="C141" s="17"/>
      <c r="D141" s="19"/>
      <c r="E141" s="23"/>
      <c r="F141" s="11"/>
      <c r="G141" s="11"/>
      <c r="H141" s="17">
        <v>1</v>
      </c>
      <c r="I141" s="19">
        <v>1226.55</v>
      </c>
      <c r="J141" s="21"/>
      <c r="K141" s="12"/>
      <c r="L141" s="9"/>
      <c r="M141" s="45"/>
      <c r="N141" s="19"/>
      <c r="O141" s="87"/>
      <c r="P141" s="87"/>
      <c r="Q141" s="87"/>
      <c r="R141" s="45">
        <v>4</v>
      </c>
      <c r="S141" s="19">
        <f>2292/4</f>
        <v>573</v>
      </c>
      <c r="T141" s="87"/>
      <c r="U141" s="87"/>
      <c r="V141" s="87"/>
      <c r="W141" s="45"/>
      <c r="X141" s="19"/>
      <c r="Y141" s="87"/>
      <c r="Z141" s="87"/>
      <c r="AA141" s="87"/>
      <c r="AB141" s="45"/>
      <c r="AC141" s="19"/>
      <c r="AD141" s="87"/>
      <c r="AE141" s="87"/>
      <c r="AF141" s="87"/>
      <c r="AG141" s="45"/>
      <c r="AH141" s="45"/>
      <c r="AI141" s="19"/>
      <c r="AJ141" s="87"/>
      <c r="AK141" s="87"/>
      <c r="AL141" s="87"/>
    </row>
    <row r="142" spans="1:38" ht="18" customHeight="1">
      <c r="A142" s="164"/>
      <c r="B142" s="6" t="s">
        <v>14</v>
      </c>
      <c r="C142" s="17"/>
      <c r="D142" s="19"/>
      <c r="E142" s="23"/>
      <c r="F142" s="11"/>
      <c r="G142" s="11"/>
      <c r="H142" s="17">
        <v>2</v>
      </c>
      <c r="I142" s="19">
        <f>666/2</f>
        <v>333</v>
      </c>
      <c r="J142" s="21"/>
      <c r="K142" s="12"/>
      <c r="L142" s="9"/>
      <c r="M142" s="45"/>
      <c r="N142" s="19"/>
      <c r="O142" s="87"/>
      <c r="P142" s="87"/>
      <c r="Q142" s="87"/>
      <c r="R142" s="45">
        <v>1</v>
      </c>
      <c r="S142" s="19">
        <v>370</v>
      </c>
      <c r="T142" s="87"/>
      <c r="U142" s="87"/>
      <c r="V142" s="87"/>
      <c r="W142" s="45">
        <v>1</v>
      </c>
      <c r="X142" s="19">
        <v>300</v>
      </c>
      <c r="Y142" s="87"/>
      <c r="Z142" s="87"/>
      <c r="AA142" s="87"/>
      <c r="AB142" s="45"/>
      <c r="AC142" s="19"/>
      <c r="AD142" s="87"/>
      <c r="AE142" s="87"/>
      <c r="AF142" s="87"/>
      <c r="AG142" s="45">
        <v>1</v>
      </c>
      <c r="AH142" s="45"/>
      <c r="AI142" s="19">
        <v>299.99</v>
      </c>
      <c r="AJ142" s="87"/>
      <c r="AK142" s="87"/>
      <c r="AL142" s="87"/>
    </row>
    <row r="143" spans="1:38" ht="18" customHeight="1">
      <c r="A143" s="164"/>
      <c r="B143" s="6" t="s">
        <v>15</v>
      </c>
      <c r="C143" s="17"/>
      <c r="D143" s="19"/>
      <c r="E143" s="23"/>
      <c r="F143" s="11"/>
      <c r="G143" s="11"/>
      <c r="H143" s="17">
        <v>5</v>
      </c>
      <c r="I143" s="19">
        <f>4932.1/5</f>
        <v>986.4200000000001</v>
      </c>
      <c r="J143" s="21"/>
      <c r="K143" s="12"/>
      <c r="L143" s="9"/>
      <c r="M143" s="45"/>
      <c r="N143" s="19"/>
      <c r="O143" s="87"/>
      <c r="P143" s="87"/>
      <c r="Q143" s="87"/>
      <c r="R143" s="45">
        <v>1</v>
      </c>
      <c r="S143" s="19">
        <v>450</v>
      </c>
      <c r="T143" s="87"/>
      <c r="U143" s="87"/>
      <c r="V143" s="87"/>
      <c r="W143" s="45"/>
      <c r="X143" s="19"/>
      <c r="Y143" s="87"/>
      <c r="Z143" s="87"/>
      <c r="AA143" s="87"/>
      <c r="AB143" s="45"/>
      <c r="AC143" s="19"/>
      <c r="AD143" s="87"/>
      <c r="AE143" s="87"/>
      <c r="AF143" s="87"/>
      <c r="AG143" s="45"/>
      <c r="AH143" s="45"/>
      <c r="AI143" s="19"/>
      <c r="AJ143" s="87"/>
      <c r="AK143" s="87"/>
      <c r="AL143" s="87"/>
    </row>
    <row r="144" spans="1:38" ht="18" customHeight="1">
      <c r="A144" s="164"/>
      <c r="B144" s="6" t="s">
        <v>16</v>
      </c>
      <c r="C144" s="17"/>
      <c r="D144" s="19"/>
      <c r="E144" s="23"/>
      <c r="F144" s="11"/>
      <c r="G144" s="11"/>
      <c r="H144" s="17">
        <v>5</v>
      </c>
      <c r="I144" s="19">
        <f>10648.6/5</f>
        <v>2129.7200000000003</v>
      </c>
      <c r="J144" s="21"/>
      <c r="K144" s="12"/>
      <c r="L144" s="9"/>
      <c r="M144" s="45"/>
      <c r="N144" s="19"/>
      <c r="O144" s="87"/>
      <c r="P144" s="87"/>
      <c r="Q144" s="87"/>
      <c r="R144" s="45">
        <v>1</v>
      </c>
      <c r="S144" s="19">
        <v>470</v>
      </c>
      <c r="T144" s="87"/>
      <c r="U144" s="87"/>
      <c r="V144" s="87"/>
      <c r="W144" s="45">
        <v>2</v>
      </c>
      <c r="X144" s="19">
        <f>500/2</f>
        <v>250</v>
      </c>
      <c r="Y144" s="87"/>
      <c r="Z144" s="87"/>
      <c r="AA144" s="87"/>
      <c r="AB144" s="45">
        <v>1</v>
      </c>
      <c r="AC144" s="19">
        <v>828.57</v>
      </c>
      <c r="AD144" s="87"/>
      <c r="AE144" s="87"/>
      <c r="AF144" s="87"/>
      <c r="AG144" s="45">
        <v>2</v>
      </c>
      <c r="AH144" s="45"/>
      <c r="AI144" s="19">
        <f>400/AG144</f>
        <v>200</v>
      </c>
      <c r="AJ144" s="87"/>
      <c r="AK144" s="87"/>
      <c r="AL144" s="87"/>
    </row>
    <row r="145" spans="1:38" ht="18" customHeight="1">
      <c r="A145" s="164"/>
      <c r="B145" s="6" t="s">
        <v>17</v>
      </c>
      <c r="C145" s="17"/>
      <c r="D145" s="19"/>
      <c r="E145" s="23"/>
      <c r="F145" s="11"/>
      <c r="G145" s="11"/>
      <c r="H145" s="17">
        <v>2</v>
      </c>
      <c r="I145" s="19">
        <f>3089.5/2</f>
        <v>1544.75</v>
      </c>
      <c r="J145" s="21"/>
      <c r="K145" s="12"/>
      <c r="L145" s="9"/>
      <c r="M145" s="45"/>
      <c r="N145" s="19"/>
      <c r="O145" s="87"/>
      <c r="P145" s="87"/>
      <c r="Q145" s="87"/>
      <c r="R145" s="45">
        <v>0</v>
      </c>
      <c r="S145" s="19">
        <v>0</v>
      </c>
      <c r="T145" s="87"/>
      <c r="U145" s="87"/>
      <c r="V145" s="87"/>
      <c r="W145" s="45"/>
      <c r="X145" s="19"/>
      <c r="Y145" s="87"/>
      <c r="Z145" s="87"/>
      <c r="AA145" s="87"/>
      <c r="AB145" s="45"/>
      <c r="AC145" s="19"/>
      <c r="AD145" s="87"/>
      <c r="AE145" s="87"/>
      <c r="AF145" s="87"/>
      <c r="AG145" s="45"/>
      <c r="AH145" s="45"/>
      <c r="AI145" s="19"/>
      <c r="AJ145" s="87"/>
      <c r="AK145" s="87"/>
      <c r="AL145" s="87"/>
    </row>
    <row r="146" spans="1:38" ht="18" customHeight="1">
      <c r="A146" s="164"/>
      <c r="B146" s="6" t="s">
        <v>90</v>
      </c>
      <c r="C146" s="17"/>
      <c r="D146" s="19"/>
      <c r="E146" s="23"/>
      <c r="F146" s="11"/>
      <c r="G146" s="11"/>
      <c r="H146" s="17"/>
      <c r="I146" s="19"/>
      <c r="J146" s="21"/>
      <c r="K146" s="12"/>
      <c r="L146" s="9"/>
      <c r="M146" s="45"/>
      <c r="N146" s="19"/>
      <c r="O146" s="87"/>
      <c r="P146" s="87"/>
      <c r="Q146" s="87"/>
      <c r="R146" s="45"/>
      <c r="S146" s="19"/>
      <c r="T146" s="87"/>
      <c r="U146" s="87"/>
      <c r="V146" s="87"/>
      <c r="W146" s="45">
        <v>8</v>
      </c>
      <c r="X146" s="19">
        <f>2047.62/8</f>
        <v>255.9525</v>
      </c>
      <c r="Y146" s="87"/>
      <c r="Z146" s="87"/>
      <c r="AA146" s="87"/>
      <c r="AB146" s="45">
        <v>3</v>
      </c>
      <c r="AC146" s="19">
        <f>965.59/AB146</f>
        <v>321.86333333333334</v>
      </c>
      <c r="AD146" s="87"/>
      <c r="AE146" s="87"/>
      <c r="AF146" s="87"/>
      <c r="AG146" s="45">
        <v>2</v>
      </c>
      <c r="AH146" s="45"/>
      <c r="AI146" s="19">
        <f>712.12/AG146</f>
        <v>356.06</v>
      </c>
      <c r="AJ146" s="87"/>
      <c r="AK146" s="87"/>
      <c r="AL146" s="87"/>
    </row>
    <row r="147" spans="1:38" ht="18" customHeight="1">
      <c r="A147" s="164"/>
      <c r="B147" s="6" t="s">
        <v>18</v>
      </c>
      <c r="C147" s="17"/>
      <c r="D147" s="19"/>
      <c r="E147" s="23"/>
      <c r="F147" s="11"/>
      <c r="G147" s="11"/>
      <c r="H147" s="17">
        <v>11</v>
      </c>
      <c r="I147" s="19">
        <f>21182.55/11</f>
        <v>1925.6863636363635</v>
      </c>
      <c r="J147" s="21"/>
      <c r="K147" s="12"/>
      <c r="L147" s="9"/>
      <c r="M147" s="45"/>
      <c r="N147" s="19"/>
      <c r="O147" s="87"/>
      <c r="P147" s="87"/>
      <c r="Q147" s="87"/>
      <c r="R147" s="45">
        <v>0</v>
      </c>
      <c r="S147" s="19">
        <v>0</v>
      </c>
      <c r="T147" s="87"/>
      <c r="U147" s="87"/>
      <c r="V147" s="87"/>
      <c r="W147" s="45">
        <v>2</v>
      </c>
      <c r="X147" s="19">
        <f>400/2</f>
        <v>200</v>
      </c>
      <c r="Y147" s="87"/>
      <c r="Z147" s="87"/>
      <c r="AA147" s="87"/>
      <c r="AB147" s="45">
        <v>2</v>
      </c>
      <c r="AC147" s="19">
        <f>496.1/AB147</f>
        <v>248.05</v>
      </c>
      <c r="AD147" s="87"/>
      <c r="AE147" s="87"/>
      <c r="AF147" s="87"/>
      <c r="AG147" s="45"/>
      <c r="AH147" s="45"/>
      <c r="AI147" s="19"/>
      <c r="AJ147" s="87"/>
      <c r="AK147" s="87"/>
      <c r="AL147" s="87"/>
    </row>
    <row r="148" spans="1:38" ht="18" customHeight="1">
      <c r="A148" s="164"/>
      <c r="B148" s="6" t="s">
        <v>66</v>
      </c>
      <c r="C148" s="17"/>
      <c r="D148" s="19"/>
      <c r="E148" s="23"/>
      <c r="F148" s="11"/>
      <c r="G148" s="11"/>
      <c r="H148" s="17">
        <v>1</v>
      </c>
      <c r="I148" s="19">
        <v>1809.3</v>
      </c>
      <c r="J148" s="21"/>
      <c r="K148" s="12"/>
      <c r="L148" s="9"/>
      <c r="M148" s="45"/>
      <c r="N148" s="19"/>
      <c r="O148" s="87"/>
      <c r="P148" s="87"/>
      <c r="Q148" s="87"/>
      <c r="R148" s="45"/>
      <c r="S148" s="19"/>
      <c r="T148" s="87"/>
      <c r="U148" s="87"/>
      <c r="V148" s="87"/>
      <c r="W148" s="45"/>
      <c r="X148" s="19"/>
      <c r="Y148" s="87"/>
      <c r="Z148" s="87"/>
      <c r="AA148" s="87"/>
      <c r="AB148" s="45"/>
      <c r="AC148" s="19"/>
      <c r="AD148" s="87"/>
      <c r="AE148" s="87"/>
      <c r="AF148" s="87"/>
      <c r="AG148" s="87"/>
      <c r="AH148" s="87"/>
      <c r="AI148" s="87"/>
      <c r="AJ148" s="87"/>
      <c r="AK148" s="87"/>
      <c r="AL148" s="87"/>
    </row>
    <row r="149" spans="1:38" ht="18" customHeight="1">
      <c r="A149" s="164"/>
      <c r="B149" s="69" t="s">
        <v>19</v>
      </c>
      <c r="C149" s="18"/>
      <c r="D149" s="20"/>
      <c r="E149" s="49"/>
      <c r="F149" s="5"/>
      <c r="G149" s="5"/>
      <c r="H149" s="18">
        <f>SUM(H138:H148)</f>
        <v>40</v>
      </c>
      <c r="I149" s="20">
        <v>1810.24</v>
      </c>
      <c r="J149" s="40"/>
      <c r="K149" s="2"/>
      <c r="L149" s="3"/>
      <c r="M149" s="18">
        <f>SUM(M138:M148)</f>
        <v>0</v>
      </c>
      <c r="N149" s="20">
        <v>0</v>
      </c>
      <c r="O149" s="3"/>
      <c r="P149" s="3"/>
      <c r="Q149" s="3"/>
      <c r="R149" s="18">
        <f>SUM(R138:R148)</f>
        <v>9</v>
      </c>
      <c r="S149" s="20">
        <f>4342/9</f>
        <v>482.44444444444446</v>
      </c>
      <c r="T149" s="3"/>
      <c r="U149" s="3"/>
      <c r="V149" s="3"/>
      <c r="W149" s="18">
        <f>SUM(W139:W148)</f>
        <v>14</v>
      </c>
      <c r="X149" s="20">
        <f>3600.29/14</f>
        <v>257.1635714285714</v>
      </c>
      <c r="Y149" s="3"/>
      <c r="Z149" s="3"/>
      <c r="AA149" s="3"/>
      <c r="AB149" s="18">
        <f>SUM(AB138:AB148)</f>
        <v>8</v>
      </c>
      <c r="AC149" s="20">
        <f>2934.05/AB149</f>
        <v>366.75625</v>
      </c>
      <c r="AD149" s="3"/>
      <c r="AE149" s="3"/>
      <c r="AF149" s="3"/>
      <c r="AG149" s="18">
        <f>SUM(AG138:AG147)</f>
        <v>6</v>
      </c>
      <c r="AH149" s="18"/>
      <c r="AI149" s="20">
        <f>2282.11/AG149</f>
        <v>380.3516666666667</v>
      </c>
      <c r="AJ149" s="3"/>
      <c r="AK149" s="3"/>
      <c r="AL149" s="3"/>
    </row>
    <row r="150" spans="1:38" ht="18" customHeight="1">
      <c r="A150" s="164" t="s">
        <v>40</v>
      </c>
      <c r="B150" s="6" t="s">
        <v>10</v>
      </c>
      <c r="C150" s="17"/>
      <c r="D150" s="19"/>
      <c r="E150" s="47"/>
      <c r="F150" s="11"/>
      <c r="G150" s="11"/>
      <c r="H150" s="17"/>
      <c r="I150" s="19"/>
      <c r="J150" s="33"/>
      <c r="K150" s="12"/>
      <c r="L150" s="9"/>
      <c r="M150" s="45"/>
      <c r="N150" s="87"/>
      <c r="O150" s="87"/>
      <c r="P150" s="87"/>
      <c r="Q150" s="87"/>
      <c r="R150" s="45"/>
      <c r="S150" s="87"/>
      <c r="T150" s="87"/>
      <c r="U150" s="87"/>
      <c r="V150" s="87"/>
      <c r="W150" s="45"/>
      <c r="X150" s="87"/>
      <c r="Y150" s="87"/>
      <c r="Z150" s="87"/>
      <c r="AA150" s="87"/>
      <c r="AB150" s="45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</row>
    <row r="151" spans="1:38" ht="18" customHeight="1">
      <c r="A151" s="164"/>
      <c r="B151" s="6" t="s">
        <v>11</v>
      </c>
      <c r="C151" s="17"/>
      <c r="D151" s="19"/>
      <c r="E151" s="47"/>
      <c r="F151" s="11"/>
      <c r="G151" s="11"/>
      <c r="H151" s="17"/>
      <c r="I151" s="19"/>
      <c r="J151" s="33"/>
      <c r="K151" s="12"/>
      <c r="L151" s="9"/>
      <c r="M151" s="45"/>
      <c r="N151" s="87"/>
      <c r="O151" s="87"/>
      <c r="P151" s="87"/>
      <c r="Q151" s="87"/>
      <c r="R151" s="45"/>
      <c r="S151" s="87"/>
      <c r="T151" s="87"/>
      <c r="U151" s="87"/>
      <c r="V151" s="87"/>
      <c r="W151" s="45"/>
      <c r="X151" s="87"/>
      <c r="Y151" s="87"/>
      <c r="Z151" s="87"/>
      <c r="AA151" s="87"/>
      <c r="AB151" s="45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</row>
    <row r="152" spans="1:38" ht="18" customHeight="1">
      <c r="A152" s="164"/>
      <c r="B152" s="6" t="s">
        <v>12</v>
      </c>
      <c r="C152" s="17"/>
      <c r="D152" s="19"/>
      <c r="E152" s="47"/>
      <c r="F152" s="11"/>
      <c r="G152" s="11"/>
      <c r="H152" s="17"/>
      <c r="I152" s="19"/>
      <c r="J152" s="33"/>
      <c r="K152" s="13"/>
      <c r="L152" s="9"/>
      <c r="M152" s="45"/>
      <c r="N152" s="87"/>
      <c r="O152" s="87"/>
      <c r="P152" s="87"/>
      <c r="Q152" s="87"/>
      <c r="R152" s="45"/>
      <c r="S152" s="87"/>
      <c r="T152" s="87"/>
      <c r="U152" s="87"/>
      <c r="V152" s="87"/>
      <c r="W152" s="45"/>
      <c r="X152" s="87"/>
      <c r="Y152" s="87"/>
      <c r="Z152" s="87"/>
      <c r="AA152" s="87"/>
      <c r="AB152" s="45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</row>
    <row r="153" spans="1:38" ht="18" customHeight="1">
      <c r="A153" s="164"/>
      <c r="B153" s="6" t="s">
        <v>13</v>
      </c>
      <c r="C153" s="17"/>
      <c r="D153" s="19"/>
      <c r="E153" s="47"/>
      <c r="F153" s="11"/>
      <c r="G153" s="11"/>
      <c r="H153" s="17"/>
      <c r="I153" s="19"/>
      <c r="J153" s="33"/>
      <c r="K153" s="12"/>
      <c r="L153" s="9"/>
      <c r="M153" s="45"/>
      <c r="N153" s="87"/>
      <c r="O153" s="87"/>
      <c r="P153" s="87"/>
      <c r="Q153" s="87"/>
      <c r="R153" s="45"/>
      <c r="S153" s="87"/>
      <c r="T153" s="87"/>
      <c r="U153" s="87"/>
      <c r="V153" s="87"/>
      <c r="W153" s="45"/>
      <c r="X153" s="87"/>
      <c r="Y153" s="87"/>
      <c r="Z153" s="87"/>
      <c r="AA153" s="87"/>
      <c r="AB153" s="45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</row>
    <row r="154" spans="1:38" ht="18" customHeight="1">
      <c r="A154" s="164"/>
      <c r="B154" s="6" t="s">
        <v>14</v>
      </c>
      <c r="C154" s="17"/>
      <c r="D154" s="19"/>
      <c r="E154" s="47"/>
      <c r="F154" s="11"/>
      <c r="G154" s="11"/>
      <c r="H154" s="17"/>
      <c r="I154" s="19"/>
      <c r="J154" s="33"/>
      <c r="K154" s="12"/>
      <c r="L154" s="9"/>
      <c r="M154" s="45"/>
      <c r="N154" s="87"/>
      <c r="O154" s="87"/>
      <c r="P154" s="87"/>
      <c r="Q154" s="87"/>
      <c r="R154" s="45"/>
      <c r="S154" s="87"/>
      <c r="T154" s="87"/>
      <c r="U154" s="87"/>
      <c r="V154" s="87"/>
      <c r="W154" s="45"/>
      <c r="X154" s="87"/>
      <c r="Y154" s="87"/>
      <c r="Z154" s="87"/>
      <c r="AA154" s="87"/>
      <c r="AB154" s="45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</row>
    <row r="155" spans="1:38" ht="18" customHeight="1">
      <c r="A155" s="164"/>
      <c r="B155" s="6" t="s">
        <v>15</v>
      </c>
      <c r="C155" s="17"/>
      <c r="D155" s="19"/>
      <c r="E155" s="47"/>
      <c r="F155" s="11"/>
      <c r="G155" s="11"/>
      <c r="H155" s="17"/>
      <c r="I155" s="19"/>
      <c r="J155" s="33"/>
      <c r="K155" s="12"/>
      <c r="L155" s="9"/>
      <c r="M155" s="45"/>
      <c r="N155" s="87"/>
      <c r="O155" s="87"/>
      <c r="P155" s="87"/>
      <c r="Q155" s="87"/>
      <c r="R155" s="45"/>
      <c r="S155" s="87"/>
      <c r="T155" s="87"/>
      <c r="U155" s="87"/>
      <c r="V155" s="87"/>
      <c r="W155" s="45"/>
      <c r="X155" s="87"/>
      <c r="Y155" s="87"/>
      <c r="Z155" s="87"/>
      <c r="AA155" s="87"/>
      <c r="AB155" s="45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</row>
    <row r="156" spans="1:38" ht="18" customHeight="1">
      <c r="A156" s="164"/>
      <c r="B156" s="6" t="s">
        <v>16</v>
      </c>
      <c r="C156" s="17"/>
      <c r="D156" s="19"/>
      <c r="E156" s="47"/>
      <c r="F156" s="11"/>
      <c r="G156" s="11"/>
      <c r="H156" s="17"/>
      <c r="I156" s="19"/>
      <c r="J156" s="33"/>
      <c r="K156" s="12"/>
      <c r="L156" s="9"/>
      <c r="M156" s="45"/>
      <c r="N156" s="87"/>
      <c r="O156" s="87"/>
      <c r="P156" s="87"/>
      <c r="Q156" s="87"/>
      <c r="R156" s="45"/>
      <c r="S156" s="87"/>
      <c r="T156" s="87"/>
      <c r="U156" s="87"/>
      <c r="V156" s="87"/>
      <c r="W156" s="45"/>
      <c r="X156" s="87"/>
      <c r="Y156" s="87"/>
      <c r="Z156" s="87"/>
      <c r="AA156" s="87"/>
      <c r="AB156" s="45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</row>
    <row r="157" spans="1:38" ht="18" customHeight="1">
      <c r="A157" s="164"/>
      <c r="B157" s="6" t="s">
        <v>17</v>
      </c>
      <c r="C157" s="17"/>
      <c r="D157" s="19"/>
      <c r="E157" s="47"/>
      <c r="F157" s="11"/>
      <c r="G157" s="11"/>
      <c r="H157" s="17"/>
      <c r="I157" s="19"/>
      <c r="J157" s="33"/>
      <c r="K157" s="12"/>
      <c r="L157" s="9"/>
      <c r="M157" s="45"/>
      <c r="N157" s="87"/>
      <c r="O157" s="87"/>
      <c r="P157" s="87"/>
      <c r="Q157" s="87"/>
      <c r="R157" s="45"/>
      <c r="S157" s="87"/>
      <c r="T157" s="87"/>
      <c r="U157" s="87"/>
      <c r="V157" s="87"/>
      <c r="W157" s="45"/>
      <c r="X157" s="87"/>
      <c r="Y157" s="87"/>
      <c r="Z157" s="87"/>
      <c r="AA157" s="87"/>
      <c r="AB157" s="45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</row>
    <row r="158" spans="1:38" ht="18" customHeight="1">
      <c r="A158" s="164"/>
      <c r="B158" s="6" t="s">
        <v>18</v>
      </c>
      <c r="C158" s="17"/>
      <c r="D158" s="19"/>
      <c r="E158" s="47"/>
      <c r="F158" s="11"/>
      <c r="G158" s="11"/>
      <c r="H158" s="17"/>
      <c r="I158" s="19"/>
      <c r="J158" s="33"/>
      <c r="K158" s="12"/>
      <c r="L158" s="9"/>
      <c r="M158" s="45"/>
      <c r="N158" s="87"/>
      <c r="O158" s="87"/>
      <c r="P158" s="87"/>
      <c r="Q158" s="87"/>
      <c r="R158" s="45"/>
      <c r="S158" s="87"/>
      <c r="T158" s="87"/>
      <c r="U158" s="87"/>
      <c r="V158" s="87"/>
      <c r="W158" s="45"/>
      <c r="X158" s="87"/>
      <c r="Y158" s="87"/>
      <c r="Z158" s="87"/>
      <c r="AA158" s="87"/>
      <c r="AB158" s="45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</row>
    <row r="159" spans="1:38" ht="18" customHeight="1">
      <c r="A159" s="164"/>
      <c r="B159" s="69" t="s">
        <v>19</v>
      </c>
      <c r="C159" s="18"/>
      <c r="D159" s="20"/>
      <c r="E159" s="49"/>
      <c r="F159" s="5"/>
      <c r="G159" s="5"/>
      <c r="H159" s="2"/>
      <c r="I159" s="20"/>
      <c r="J159" s="40"/>
      <c r="K159" s="2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</row>
    <row r="160" spans="1:38" ht="18" customHeight="1">
      <c r="A160" s="164" t="s">
        <v>41</v>
      </c>
      <c r="B160" s="6" t="s">
        <v>10</v>
      </c>
      <c r="C160" s="17">
        <v>2</v>
      </c>
      <c r="D160" s="19">
        <f>8463.15/2</f>
        <v>4231.575</v>
      </c>
      <c r="E160" s="47">
        <f>375/2</f>
        <v>187.5</v>
      </c>
      <c r="F160" s="11"/>
      <c r="G160" s="11"/>
      <c r="H160" s="17">
        <v>2</v>
      </c>
      <c r="I160" s="19">
        <f>6692.68/2</f>
        <v>3346.34</v>
      </c>
      <c r="J160" s="33">
        <f>291.5/2</f>
        <v>145.75</v>
      </c>
      <c r="K160" s="12"/>
      <c r="L160" s="9"/>
      <c r="M160" s="45"/>
      <c r="N160" s="19"/>
      <c r="O160" s="33"/>
      <c r="P160" s="87"/>
      <c r="Q160" s="87"/>
      <c r="R160" s="45">
        <v>2</v>
      </c>
      <c r="S160" s="19">
        <f>2953.16/2</f>
        <v>1476.58</v>
      </c>
      <c r="T160" s="33">
        <f>107.5/2</f>
        <v>53.75</v>
      </c>
      <c r="U160" s="87"/>
      <c r="V160" s="87"/>
      <c r="W160" s="45"/>
      <c r="X160" s="19"/>
      <c r="Y160" s="33"/>
      <c r="Z160" s="87"/>
      <c r="AA160" s="87"/>
      <c r="AB160" s="45"/>
      <c r="AC160" s="19"/>
      <c r="AD160" s="33"/>
      <c r="AE160" s="87"/>
      <c r="AF160" s="87"/>
      <c r="AG160" s="87"/>
      <c r="AH160" s="87"/>
      <c r="AI160" s="87"/>
      <c r="AJ160" s="87"/>
      <c r="AK160" s="87"/>
      <c r="AL160" s="87"/>
    </row>
    <row r="161" spans="1:38" ht="18" customHeight="1">
      <c r="A161" s="164"/>
      <c r="B161" s="6" t="s">
        <v>11</v>
      </c>
      <c r="C161" s="17">
        <v>16</v>
      </c>
      <c r="D161" s="19">
        <f>32529.25/16</f>
        <v>2033.078125</v>
      </c>
      <c r="E161" s="47">
        <f>1474.5/16</f>
        <v>92.15625</v>
      </c>
      <c r="F161" s="11"/>
      <c r="G161" s="11"/>
      <c r="H161" s="17">
        <v>19</v>
      </c>
      <c r="I161" s="19">
        <f>35190.59/19</f>
        <v>1852.1363157894734</v>
      </c>
      <c r="J161" s="33">
        <f>(1276.5+184)/19</f>
        <v>76.86842105263158</v>
      </c>
      <c r="K161" s="12"/>
      <c r="L161" s="9"/>
      <c r="M161" s="45">
        <v>7</v>
      </c>
      <c r="N161" s="19">
        <f>27180.54/7</f>
        <v>3882.934285714286</v>
      </c>
      <c r="O161" s="33">
        <f>973/7</f>
        <v>139</v>
      </c>
      <c r="P161" s="87"/>
      <c r="Q161" s="87"/>
      <c r="R161" s="45">
        <v>19</v>
      </c>
      <c r="S161" s="19">
        <f>52915.94/19</f>
        <v>2785.0494736842106</v>
      </c>
      <c r="T161" s="33">
        <f>1211.67/19</f>
        <v>63.7721052631579</v>
      </c>
      <c r="U161" s="87"/>
      <c r="V161" s="87"/>
      <c r="W161" s="45">
        <v>17</v>
      </c>
      <c r="X161" s="19">
        <f>68929.84/17</f>
        <v>4054.696470588235</v>
      </c>
      <c r="Y161" s="33">
        <f>2420/17</f>
        <v>142.35294117647058</v>
      </c>
      <c r="Z161" s="87"/>
      <c r="AA161" s="87"/>
      <c r="AB161" s="45">
        <v>17</v>
      </c>
      <c r="AC161" s="19">
        <f>39499.31/AB161</f>
        <v>2323.4888235294115</v>
      </c>
      <c r="AD161" s="33">
        <f>1220.5/AB161</f>
        <v>71.79411764705883</v>
      </c>
      <c r="AE161" s="87"/>
      <c r="AF161" s="87"/>
      <c r="AG161" s="45">
        <v>24</v>
      </c>
      <c r="AH161" s="45"/>
      <c r="AI161" s="19">
        <f>51338.57/AG161</f>
        <v>2139.1070833333333</v>
      </c>
      <c r="AJ161" s="33">
        <f>1808.1/AG161</f>
        <v>75.33749999999999</v>
      </c>
      <c r="AK161" s="87"/>
      <c r="AL161" s="87"/>
    </row>
    <row r="162" spans="1:38" ht="18" customHeight="1">
      <c r="A162" s="164"/>
      <c r="B162" s="6" t="s">
        <v>12</v>
      </c>
      <c r="C162" s="17"/>
      <c r="D162" s="19"/>
      <c r="E162" s="47"/>
      <c r="F162" s="11"/>
      <c r="G162" s="11"/>
      <c r="H162" s="17"/>
      <c r="I162" s="19"/>
      <c r="J162" s="33"/>
      <c r="K162" s="13"/>
      <c r="L162" s="9"/>
      <c r="M162" s="45"/>
      <c r="N162" s="19"/>
      <c r="O162" s="33"/>
      <c r="P162" s="87"/>
      <c r="Q162" s="87"/>
      <c r="R162" s="45">
        <v>2</v>
      </c>
      <c r="S162" s="19">
        <f>3029.48/2</f>
        <v>1514.74</v>
      </c>
      <c r="T162" s="33">
        <f>126.5/2</f>
        <v>63.25</v>
      </c>
      <c r="U162" s="87"/>
      <c r="V162" s="87"/>
      <c r="W162" s="45"/>
      <c r="X162" s="19"/>
      <c r="Y162" s="33"/>
      <c r="Z162" s="87"/>
      <c r="AA162" s="87"/>
      <c r="AB162" s="45"/>
      <c r="AC162" s="19"/>
      <c r="AD162" s="33"/>
      <c r="AE162" s="87"/>
      <c r="AF162" s="87"/>
      <c r="AG162" s="45"/>
      <c r="AH162" s="45"/>
      <c r="AI162" s="19"/>
      <c r="AJ162" s="33"/>
      <c r="AK162" s="87"/>
      <c r="AL162" s="87"/>
    </row>
    <row r="163" spans="1:38" ht="18" customHeight="1">
      <c r="A163" s="164"/>
      <c r="B163" s="6" t="s">
        <v>13</v>
      </c>
      <c r="C163" s="17">
        <v>9</v>
      </c>
      <c r="D163" s="19">
        <f>7658.8/9</f>
        <v>850.9777777777778</v>
      </c>
      <c r="E163" s="47">
        <f>305.5/9</f>
        <v>33.94444444444444</v>
      </c>
      <c r="F163" s="22"/>
      <c r="G163" s="11"/>
      <c r="H163" s="17">
        <v>6</v>
      </c>
      <c r="I163" s="19">
        <f>15661.46/6</f>
        <v>2610.2433333333333</v>
      </c>
      <c r="J163" s="33">
        <f>(371+52)/6</f>
        <v>70.5</v>
      </c>
      <c r="K163" s="12"/>
      <c r="L163" s="9"/>
      <c r="M163" s="45">
        <v>1</v>
      </c>
      <c r="N163" s="19">
        <v>950.56</v>
      </c>
      <c r="O163" s="33">
        <v>40</v>
      </c>
      <c r="P163" s="87"/>
      <c r="Q163" s="87"/>
      <c r="R163" s="45">
        <v>7</v>
      </c>
      <c r="S163" s="19">
        <f>4666.58/7</f>
        <v>666.6542857142857</v>
      </c>
      <c r="T163" s="33">
        <f>192.26/7</f>
        <v>27.465714285714284</v>
      </c>
      <c r="U163" s="87"/>
      <c r="V163" s="87"/>
      <c r="W163" s="45"/>
      <c r="X163" s="19"/>
      <c r="Y163" s="33"/>
      <c r="Z163" s="87"/>
      <c r="AA163" s="87"/>
      <c r="AB163" s="45"/>
      <c r="AC163" s="19"/>
      <c r="AD163" s="33"/>
      <c r="AE163" s="87"/>
      <c r="AF163" s="87"/>
      <c r="AG163" s="45"/>
      <c r="AH163" s="45"/>
      <c r="AI163" s="19"/>
      <c r="AJ163" s="33"/>
      <c r="AK163" s="87"/>
      <c r="AL163" s="87"/>
    </row>
    <row r="164" spans="1:38" ht="18" customHeight="1">
      <c r="A164" s="164"/>
      <c r="B164" s="6" t="s">
        <v>14</v>
      </c>
      <c r="C164" s="17">
        <v>2</v>
      </c>
      <c r="D164" s="19">
        <f>5980.14/2</f>
        <v>2990.07</v>
      </c>
      <c r="E164" s="47">
        <f>239.5/2</f>
        <v>119.75</v>
      </c>
      <c r="F164" s="22"/>
      <c r="G164" s="11"/>
      <c r="H164" s="17">
        <v>7</v>
      </c>
      <c r="I164" s="19">
        <f>2748.5/7</f>
        <v>392.64285714285717</v>
      </c>
      <c r="J164" s="33">
        <f>(44+40)/7</f>
        <v>12</v>
      </c>
      <c r="K164" s="12"/>
      <c r="L164" s="9"/>
      <c r="M164" s="45">
        <v>5</v>
      </c>
      <c r="N164" s="19">
        <f>18220.1/5</f>
        <v>3644.0199999999995</v>
      </c>
      <c r="O164" s="33">
        <f>597/5</f>
        <v>119.4</v>
      </c>
      <c r="P164" s="87"/>
      <c r="Q164" s="87"/>
      <c r="R164" s="45">
        <v>3</v>
      </c>
      <c r="S164" s="19">
        <f>11498.49/3</f>
        <v>3832.83</v>
      </c>
      <c r="T164" s="33">
        <f>425.5/3</f>
        <v>141.83333333333334</v>
      </c>
      <c r="U164" s="87"/>
      <c r="V164" s="87"/>
      <c r="W164" s="45">
        <v>3</v>
      </c>
      <c r="X164" s="19">
        <f>2196.19/3</f>
        <v>732.0633333333334</v>
      </c>
      <c r="Y164" s="33">
        <f>86/3</f>
        <v>28.666666666666668</v>
      </c>
      <c r="Z164" s="87"/>
      <c r="AA164" s="87"/>
      <c r="AB164" s="45">
        <v>1</v>
      </c>
      <c r="AC164" s="19">
        <v>2821.63</v>
      </c>
      <c r="AD164" s="33">
        <v>116.5</v>
      </c>
      <c r="AE164" s="87"/>
      <c r="AF164" s="87"/>
      <c r="AG164" s="45">
        <v>6</v>
      </c>
      <c r="AH164" s="45"/>
      <c r="AI164" s="19">
        <f>16524.09/AG164</f>
        <v>2754.015</v>
      </c>
      <c r="AJ164" s="33">
        <f>680/AG164</f>
        <v>113.33333333333333</v>
      </c>
      <c r="AK164" s="87"/>
      <c r="AL164" s="87"/>
    </row>
    <row r="165" spans="1:38" ht="18" customHeight="1">
      <c r="A165" s="164"/>
      <c r="B165" s="6" t="s">
        <v>15</v>
      </c>
      <c r="C165" s="17">
        <v>1</v>
      </c>
      <c r="D165" s="19">
        <v>4087.55</v>
      </c>
      <c r="E165" s="47">
        <v>170.5</v>
      </c>
      <c r="F165" s="22"/>
      <c r="G165" s="11"/>
      <c r="H165" s="17">
        <v>1</v>
      </c>
      <c r="I165" s="19">
        <v>2061.48</v>
      </c>
      <c r="J165" s="33">
        <v>83</v>
      </c>
      <c r="K165" s="12"/>
      <c r="L165" s="9"/>
      <c r="M165" s="45"/>
      <c r="N165" s="19"/>
      <c r="O165" s="33"/>
      <c r="P165" s="87"/>
      <c r="Q165" s="87"/>
      <c r="R165" s="45"/>
      <c r="S165" s="19"/>
      <c r="T165" s="33"/>
      <c r="U165" s="87"/>
      <c r="V165" s="87"/>
      <c r="W165" s="45"/>
      <c r="X165" s="19"/>
      <c r="Y165" s="33"/>
      <c r="Z165" s="87"/>
      <c r="AA165" s="87"/>
      <c r="AB165" s="45"/>
      <c r="AC165" s="19"/>
      <c r="AD165" s="33"/>
      <c r="AE165" s="87"/>
      <c r="AF165" s="87"/>
      <c r="AG165" s="45"/>
      <c r="AH165" s="45"/>
      <c r="AI165" s="19"/>
      <c r="AJ165" s="33"/>
      <c r="AK165" s="87"/>
      <c r="AL165" s="87"/>
    </row>
    <row r="166" spans="1:38" ht="18" customHeight="1">
      <c r="A166" s="164"/>
      <c r="B166" s="6" t="s">
        <v>16</v>
      </c>
      <c r="C166" s="17">
        <v>8</v>
      </c>
      <c r="D166" s="19">
        <f>16518.97/8</f>
        <v>2064.87125</v>
      </c>
      <c r="E166" s="47">
        <f>762.75/8</f>
        <v>95.34375</v>
      </c>
      <c r="F166" s="22"/>
      <c r="G166" s="11"/>
      <c r="H166" s="17">
        <v>6</v>
      </c>
      <c r="I166" s="19">
        <f>15291.75/6</f>
        <v>2548.625</v>
      </c>
      <c r="J166" s="33">
        <f>433/6</f>
        <v>72.16666666666667</v>
      </c>
      <c r="K166" s="12"/>
      <c r="L166" s="9"/>
      <c r="M166" s="45">
        <v>2</v>
      </c>
      <c r="N166" s="19">
        <f>2992.77/2</f>
        <v>1496.385</v>
      </c>
      <c r="O166" s="33">
        <f>80/2</f>
        <v>40</v>
      </c>
      <c r="P166" s="87"/>
      <c r="Q166" s="87"/>
      <c r="R166" s="45">
        <v>7</v>
      </c>
      <c r="S166" s="19">
        <f>33891.33/7</f>
        <v>4841.618571428572</v>
      </c>
      <c r="T166" s="33">
        <f>963/7</f>
        <v>137.57142857142858</v>
      </c>
      <c r="U166" s="87"/>
      <c r="V166" s="87"/>
      <c r="W166" s="45">
        <v>5</v>
      </c>
      <c r="X166" s="19">
        <f>31574.73/5</f>
        <v>6314.946</v>
      </c>
      <c r="Y166" s="33">
        <f>896.5/5</f>
        <v>179.3</v>
      </c>
      <c r="Z166" s="87"/>
      <c r="AA166" s="87"/>
      <c r="AB166" s="45">
        <v>7</v>
      </c>
      <c r="AC166" s="19">
        <f>23125.11/AB166</f>
        <v>3303.587142857143</v>
      </c>
      <c r="AD166" s="33">
        <f>819/AB166</f>
        <v>117</v>
      </c>
      <c r="AE166" s="87"/>
      <c r="AF166" s="87"/>
      <c r="AG166" s="45">
        <v>8</v>
      </c>
      <c r="AH166" s="45"/>
      <c r="AI166" s="19">
        <f>42378.79/AG166</f>
        <v>5297.34875</v>
      </c>
      <c r="AJ166" s="33">
        <f>1579.33/AG166</f>
        <v>197.41625</v>
      </c>
      <c r="AK166" s="87"/>
      <c r="AL166" s="87"/>
    </row>
    <row r="167" spans="1:38" ht="18" customHeight="1">
      <c r="A167" s="164"/>
      <c r="B167" s="6" t="s">
        <v>17</v>
      </c>
      <c r="C167" s="17">
        <v>1</v>
      </c>
      <c r="D167" s="19">
        <v>2470.05</v>
      </c>
      <c r="E167" s="47">
        <v>117</v>
      </c>
      <c r="F167" s="11"/>
      <c r="G167" s="11"/>
      <c r="H167" s="17">
        <v>1</v>
      </c>
      <c r="I167" s="19">
        <v>4856.55</v>
      </c>
      <c r="J167" s="33">
        <f>166.75+52</f>
        <v>218.75</v>
      </c>
      <c r="K167" s="12"/>
      <c r="L167" s="9"/>
      <c r="M167" s="45"/>
      <c r="N167" s="19"/>
      <c r="O167" s="33"/>
      <c r="P167" s="87"/>
      <c r="Q167" s="87"/>
      <c r="R167" s="45"/>
      <c r="S167" s="19"/>
      <c r="T167" s="33"/>
      <c r="U167" s="87"/>
      <c r="V167" s="87"/>
      <c r="W167" s="45"/>
      <c r="X167" s="19"/>
      <c r="Y167" s="33"/>
      <c r="Z167" s="87"/>
      <c r="AA167" s="87"/>
      <c r="AB167" s="45"/>
      <c r="AC167" s="19"/>
      <c r="AD167" s="33"/>
      <c r="AE167" s="87"/>
      <c r="AF167" s="87"/>
      <c r="AG167" s="45"/>
      <c r="AH167" s="45"/>
      <c r="AI167" s="19"/>
      <c r="AJ167" s="33"/>
      <c r="AK167" s="87"/>
      <c r="AL167" s="87"/>
    </row>
    <row r="168" spans="1:38" ht="18" customHeight="1">
      <c r="A168" s="164"/>
      <c r="B168" s="6" t="s">
        <v>90</v>
      </c>
      <c r="C168" s="17"/>
      <c r="D168" s="19"/>
      <c r="E168" s="47"/>
      <c r="F168" s="11"/>
      <c r="G168" s="11"/>
      <c r="H168" s="17"/>
      <c r="I168" s="19"/>
      <c r="J168" s="33"/>
      <c r="K168" s="12"/>
      <c r="L168" s="9"/>
      <c r="M168" s="45"/>
      <c r="N168" s="19"/>
      <c r="O168" s="33"/>
      <c r="P168" s="87"/>
      <c r="Q168" s="87"/>
      <c r="R168" s="45"/>
      <c r="S168" s="19"/>
      <c r="T168" s="33"/>
      <c r="U168" s="87"/>
      <c r="V168" s="87"/>
      <c r="W168" s="45">
        <v>14</v>
      </c>
      <c r="X168" s="19">
        <f>28588.63/14</f>
        <v>2042.045</v>
      </c>
      <c r="Y168" s="33">
        <f>1146/14</f>
        <v>81.85714285714286</v>
      </c>
      <c r="Z168" s="87"/>
      <c r="AA168" s="87"/>
      <c r="AB168" s="45">
        <v>15</v>
      </c>
      <c r="AC168" s="19">
        <f>17715.93/AB168</f>
        <v>1181.0620000000001</v>
      </c>
      <c r="AD168" s="33">
        <f>712.77/AB168</f>
        <v>47.518</v>
      </c>
      <c r="AE168" s="87"/>
      <c r="AF168" s="87"/>
      <c r="AG168" s="45">
        <v>12</v>
      </c>
      <c r="AH168" s="45"/>
      <c r="AI168" s="19">
        <f>26002.16/AG168</f>
        <v>2166.846666666667</v>
      </c>
      <c r="AJ168" s="33">
        <f>1020/AG168</f>
        <v>85</v>
      </c>
      <c r="AK168" s="87"/>
      <c r="AL168" s="87"/>
    </row>
    <row r="169" spans="1:38" ht="18" customHeight="1">
      <c r="A169" s="164"/>
      <c r="B169" s="6" t="s">
        <v>18</v>
      </c>
      <c r="C169" s="17">
        <v>1</v>
      </c>
      <c r="D169" s="19">
        <v>5908.73</v>
      </c>
      <c r="E169" s="47">
        <v>276</v>
      </c>
      <c r="F169" s="11"/>
      <c r="G169" s="11"/>
      <c r="H169" s="17">
        <v>2</v>
      </c>
      <c r="I169" s="19">
        <v>4290.3</v>
      </c>
      <c r="J169" s="33">
        <f>(336.5+73)/2</f>
        <v>204.75</v>
      </c>
      <c r="K169" s="12"/>
      <c r="L169" s="9"/>
      <c r="M169" s="45">
        <v>3</v>
      </c>
      <c r="N169" s="19">
        <f>6582.63/3</f>
        <v>2194.21</v>
      </c>
      <c r="O169" s="33">
        <f>277/3</f>
        <v>92.33333333333333</v>
      </c>
      <c r="P169" s="87"/>
      <c r="Q169" s="87"/>
      <c r="R169" s="45">
        <v>3</v>
      </c>
      <c r="S169" s="19">
        <f>19820.95/3</f>
        <v>6606.983333333334</v>
      </c>
      <c r="T169" s="33">
        <f>633.5/3</f>
        <v>211.16666666666666</v>
      </c>
      <c r="U169" s="87"/>
      <c r="V169" s="87"/>
      <c r="W169" s="45">
        <v>2</v>
      </c>
      <c r="X169" s="19"/>
      <c r="Y169" s="33">
        <f>567/2</f>
        <v>283.5</v>
      </c>
      <c r="Z169" s="87"/>
      <c r="AA169" s="87"/>
      <c r="AB169" s="45">
        <v>6</v>
      </c>
      <c r="AC169" s="19">
        <f>30725.21/AB169</f>
        <v>5120.868333333333</v>
      </c>
      <c r="AD169" s="33">
        <f>412/AB169</f>
        <v>68.66666666666667</v>
      </c>
      <c r="AE169" s="87"/>
      <c r="AF169" s="87"/>
      <c r="AG169" s="45">
        <v>5</v>
      </c>
      <c r="AH169" s="45"/>
      <c r="AI169" s="19">
        <f>19230.08/AG169</f>
        <v>3846.0160000000005</v>
      </c>
      <c r="AJ169" s="33">
        <f>16.2/AG169</f>
        <v>3.2399999999999998</v>
      </c>
      <c r="AK169" s="87"/>
      <c r="AL169" s="87"/>
    </row>
    <row r="170" spans="1:38" ht="18" customHeight="1">
      <c r="A170" s="164"/>
      <c r="B170" s="6" t="s">
        <v>66</v>
      </c>
      <c r="C170" s="17"/>
      <c r="D170" s="19"/>
      <c r="E170" s="47"/>
      <c r="F170" s="11"/>
      <c r="G170" s="11"/>
      <c r="H170" s="17">
        <v>4</v>
      </c>
      <c r="I170" s="19">
        <f>1710.72/4</f>
        <v>427.68</v>
      </c>
      <c r="J170" s="33">
        <f>72/4</f>
        <v>18</v>
      </c>
      <c r="K170" s="12"/>
      <c r="L170" s="9"/>
      <c r="M170" s="45"/>
      <c r="N170" s="19"/>
      <c r="O170" s="33"/>
      <c r="P170" s="87"/>
      <c r="Q170" s="87"/>
      <c r="R170" s="45"/>
      <c r="S170" s="19"/>
      <c r="T170" s="33"/>
      <c r="U170" s="87"/>
      <c r="V170" s="87"/>
      <c r="W170" s="45"/>
      <c r="X170" s="19"/>
      <c r="Y170" s="33"/>
      <c r="Z170" s="87"/>
      <c r="AA170" s="87"/>
      <c r="AB170" s="45"/>
      <c r="AC170" s="19"/>
      <c r="AD170" s="33"/>
      <c r="AE170" s="87"/>
      <c r="AF170" s="87"/>
      <c r="AG170" s="45"/>
      <c r="AH170" s="45"/>
      <c r="AI170" s="19"/>
      <c r="AJ170" s="33"/>
      <c r="AK170" s="87"/>
      <c r="AL170" s="87"/>
    </row>
    <row r="171" spans="1:38" ht="15.75" customHeight="1">
      <c r="A171" s="164"/>
      <c r="B171" s="69" t="s">
        <v>19</v>
      </c>
      <c r="C171" s="18">
        <f>SUM(C160:C170)</f>
        <v>40</v>
      </c>
      <c r="D171" s="20">
        <v>2090.42</v>
      </c>
      <c r="E171" s="49">
        <v>93</v>
      </c>
      <c r="F171" s="5"/>
      <c r="G171" s="5"/>
      <c r="H171" s="18">
        <f>SUM(H160:H170)</f>
        <v>48</v>
      </c>
      <c r="I171" s="20">
        <v>1936.15</v>
      </c>
      <c r="J171" s="40">
        <v>72.4</v>
      </c>
      <c r="K171" s="2"/>
      <c r="L171" s="3"/>
      <c r="M171" s="18">
        <f>SUM(M160:M170)</f>
        <v>18</v>
      </c>
      <c r="N171" s="20">
        <f>55926.6/18</f>
        <v>3107.0333333333333</v>
      </c>
      <c r="O171" s="40">
        <f>1967/18</f>
        <v>109.27777777777777</v>
      </c>
      <c r="P171" s="3"/>
      <c r="Q171" s="3"/>
      <c r="R171" s="18">
        <f>SUM(R160:R170)</f>
        <v>43</v>
      </c>
      <c r="S171" s="20">
        <f>128775.92/43</f>
        <v>2994.788837209302</v>
      </c>
      <c r="T171" s="40">
        <f>3659.93/43</f>
        <v>85.1146511627907</v>
      </c>
      <c r="U171" s="3"/>
      <c r="V171" s="3"/>
      <c r="W171" s="18">
        <f>SUM(W161:W169)</f>
        <v>41</v>
      </c>
      <c r="X171" s="20">
        <f>150398.06/41</f>
        <v>3668.2453658536583</v>
      </c>
      <c r="Y171" s="40">
        <f>5115.5/41</f>
        <v>124.76829268292683</v>
      </c>
      <c r="Z171" s="3"/>
      <c r="AA171" s="3"/>
      <c r="AB171" s="18">
        <f>SUM(AB160:AB170)</f>
        <v>46</v>
      </c>
      <c r="AC171" s="20">
        <f>113887.18/AB171</f>
        <v>2475.808260869565</v>
      </c>
      <c r="AD171" s="40">
        <f>3280.77/AB171</f>
        <v>71.32108695652174</v>
      </c>
      <c r="AE171" s="3"/>
      <c r="AF171" s="3"/>
      <c r="AG171" s="18">
        <f>SUM(AG160:AG169)</f>
        <v>55</v>
      </c>
      <c r="AH171" s="18"/>
      <c r="AI171" s="20">
        <f>155473.69/AG171</f>
        <v>2826.794363636364</v>
      </c>
      <c r="AJ171" s="40">
        <f>5103.63/AG171</f>
        <v>92.79327272727274</v>
      </c>
      <c r="AK171" s="3"/>
      <c r="AL171" s="3"/>
    </row>
    <row r="172" spans="1:38" ht="18" customHeight="1">
      <c r="A172" s="164" t="s">
        <v>57</v>
      </c>
      <c r="B172" s="6" t="s">
        <v>10</v>
      </c>
      <c r="C172" s="17"/>
      <c r="D172" s="19"/>
      <c r="E172" s="47"/>
      <c r="F172" s="11"/>
      <c r="G172" s="11"/>
      <c r="H172" s="17"/>
      <c r="I172" s="19"/>
      <c r="J172" s="33"/>
      <c r="K172" s="12"/>
      <c r="L172" s="9"/>
      <c r="M172" s="95"/>
      <c r="N172" s="87"/>
      <c r="O172" s="87"/>
      <c r="P172" s="87"/>
      <c r="Q172" s="87"/>
      <c r="R172" s="95"/>
      <c r="S172" s="87"/>
      <c r="T172" s="87"/>
      <c r="U172" s="87"/>
      <c r="V172" s="87"/>
      <c r="W172" s="95"/>
      <c r="X172" s="87"/>
      <c r="Y172" s="87"/>
      <c r="Z172" s="87"/>
      <c r="AA172" s="87"/>
      <c r="AB172" s="95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</row>
    <row r="173" spans="1:38" ht="18" customHeight="1">
      <c r="A173" s="164"/>
      <c r="B173" s="6" t="s">
        <v>11</v>
      </c>
      <c r="C173" s="17"/>
      <c r="D173" s="19"/>
      <c r="E173" s="47"/>
      <c r="F173" s="11"/>
      <c r="G173" s="11"/>
      <c r="H173" s="17"/>
      <c r="I173" s="19"/>
      <c r="J173" s="33"/>
      <c r="K173" s="12"/>
      <c r="L173" s="9"/>
      <c r="M173" s="45"/>
      <c r="N173" s="87"/>
      <c r="O173" s="87"/>
      <c r="P173" s="87"/>
      <c r="Q173" s="87"/>
      <c r="R173" s="45"/>
      <c r="S173" s="87"/>
      <c r="T173" s="87"/>
      <c r="U173" s="87"/>
      <c r="V173" s="87"/>
      <c r="W173" s="45"/>
      <c r="X173" s="87"/>
      <c r="Y173" s="87"/>
      <c r="Z173" s="87"/>
      <c r="AA173" s="87"/>
      <c r="AB173" s="45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</row>
    <row r="174" spans="1:38" ht="18" customHeight="1">
      <c r="A174" s="164"/>
      <c r="B174" s="6" t="s">
        <v>12</v>
      </c>
      <c r="C174" s="17"/>
      <c r="D174" s="19"/>
      <c r="E174" s="47"/>
      <c r="F174" s="11"/>
      <c r="G174" s="11"/>
      <c r="H174" s="17"/>
      <c r="I174" s="19"/>
      <c r="J174" s="33"/>
      <c r="K174" s="13"/>
      <c r="L174" s="9"/>
      <c r="M174" s="45"/>
      <c r="N174" s="87"/>
      <c r="O174" s="87"/>
      <c r="P174" s="87"/>
      <c r="Q174" s="87"/>
      <c r="R174" s="45"/>
      <c r="S174" s="87"/>
      <c r="T174" s="87"/>
      <c r="U174" s="87"/>
      <c r="V174" s="87"/>
      <c r="W174" s="45"/>
      <c r="X174" s="87"/>
      <c r="Y174" s="87"/>
      <c r="Z174" s="87"/>
      <c r="AA174" s="87"/>
      <c r="AB174" s="45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</row>
    <row r="175" spans="1:38" ht="18" customHeight="1">
      <c r="A175" s="164"/>
      <c r="B175" s="6" t="s">
        <v>13</v>
      </c>
      <c r="C175" s="17"/>
      <c r="D175" s="19"/>
      <c r="E175" s="47"/>
      <c r="F175" s="11"/>
      <c r="G175" s="11"/>
      <c r="H175" s="17"/>
      <c r="I175" s="19"/>
      <c r="J175" s="33"/>
      <c r="K175" s="12"/>
      <c r="L175" s="9"/>
      <c r="M175" s="45"/>
      <c r="N175" s="87"/>
      <c r="O175" s="87"/>
      <c r="P175" s="87"/>
      <c r="Q175" s="87"/>
      <c r="R175" s="45"/>
      <c r="S175" s="87"/>
      <c r="T175" s="87"/>
      <c r="U175" s="87"/>
      <c r="V175" s="87"/>
      <c r="W175" s="45"/>
      <c r="X175" s="87"/>
      <c r="Y175" s="87"/>
      <c r="Z175" s="87"/>
      <c r="AA175" s="87"/>
      <c r="AB175" s="45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</row>
    <row r="176" spans="1:38" ht="18" customHeight="1">
      <c r="A176" s="164"/>
      <c r="B176" s="6" t="s">
        <v>14</v>
      </c>
      <c r="C176" s="17"/>
      <c r="D176" s="19"/>
      <c r="E176" s="47"/>
      <c r="F176" s="11"/>
      <c r="G176" s="11"/>
      <c r="H176" s="17"/>
      <c r="I176" s="19"/>
      <c r="J176" s="33"/>
      <c r="K176" s="12"/>
      <c r="L176" s="9"/>
      <c r="M176" s="45"/>
      <c r="N176" s="87"/>
      <c r="O176" s="87"/>
      <c r="P176" s="87"/>
      <c r="Q176" s="87"/>
      <c r="R176" s="45"/>
      <c r="S176" s="87"/>
      <c r="T176" s="87"/>
      <c r="U176" s="87"/>
      <c r="V176" s="87"/>
      <c r="W176" s="45"/>
      <c r="X176" s="87"/>
      <c r="Y176" s="87"/>
      <c r="Z176" s="87"/>
      <c r="AA176" s="87"/>
      <c r="AB176" s="45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</row>
    <row r="177" spans="1:38" ht="18" customHeight="1">
      <c r="A177" s="164"/>
      <c r="B177" s="6" t="s">
        <v>15</v>
      </c>
      <c r="C177" s="17"/>
      <c r="D177" s="19"/>
      <c r="E177" s="47"/>
      <c r="F177" s="11"/>
      <c r="G177" s="11"/>
      <c r="H177" s="17"/>
      <c r="I177" s="19"/>
      <c r="J177" s="33"/>
      <c r="K177" s="12"/>
      <c r="L177" s="9"/>
      <c r="M177" s="45"/>
      <c r="N177" s="87"/>
      <c r="O177" s="87"/>
      <c r="P177" s="87"/>
      <c r="Q177" s="87"/>
      <c r="R177" s="45"/>
      <c r="S177" s="87"/>
      <c r="T177" s="87"/>
      <c r="U177" s="87"/>
      <c r="V177" s="87"/>
      <c r="W177" s="45"/>
      <c r="X177" s="87"/>
      <c r="Y177" s="87"/>
      <c r="Z177" s="87"/>
      <c r="AA177" s="87"/>
      <c r="AB177" s="45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</row>
    <row r="178" spans="1:38" ht="18" customHeight="1">
      <c r="A178" s="164"/>
      <c r="B178" s="6" t="s">
        <v>16</v>
      </c>
      <c r="C178" s="17"/>
      <c r="D178" s="19"/>
      <c r="E178" s="47"/>
      <c r="F178" s="11"/>
      <c r="G178" s="11"/>
      <c r="H178" s="17"/>
      <c r="I178" s="19"/>
      <c r="J178" s="33"/>
      <c r="K178" s="12"/>
      <c r="L178" s="9"/>
      <c r="M178" s="45"/>
      <c r="N178" s="87"/>
      <c r="O178" s="87"/>
      <c r="P178" s="87"/>
      <c r="Q178" s="87"/>
      <c r="R178" s="45"/>
      <c r="S178" s="87"/>
      <c r="T178" s="87"/>
      <c r="U178" s="87"/>
      <c r="V178" s="87"/>
      <c r="W178" s="45"/>
      <c r="X178" s="87"/>
      <c r="Y178" s="87"/>
      <c r="Z178" s="87"/>
      <c r="AA178" s="87"/>
      <c r="AB178" s="45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</row>
    <row r="179" spans="1:38" ht="18" customHeight="1">
      <c r="A179" s="164"/>
      <c r="B179" s="6" t="s">
        <v>17</v>
      </c>
      <c r="C179" s="17"/>
      <c r="D179" s="19"/>
      <c r="E179" s="47"/>
      <c r="F179" s="11"/>
      <c r="G179" s="11"/>
      <c r="H179" s="17"/>
      <c r="I179" s="19"/>
      <c r="J179" s="33"/>
      <c r="K179" s="12"/>
      <c r="L179" s="9"/>
      <c r="M179" s="45"/>
      <c r="N179" s="87"/>
      <c r="O179" s="87"/>
      <c r="P179" s="87"/>
      <c r="Q179" s="87"/>
      <c r="R179" s="45"/>
      <c r="S179" s="87"/>
      <c r="T179" s="87"/>
      <c r="U179" s="87"/>
      <c r="V179" s="87"/>
      <c r="W179" s="45"/>
      <c r="X179" s="87"/>
      <c r="Y179" s="87"/>
      <c r="Z179" s="87"/>
      <c r="AA179" s="87"/>
      <c r="AB179" s="45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</row>
    <row r="180" spans="1:38" ht="18" customHeight="1">
      <c r="A180" s="164"/>
      <c r="B180" s="6" t="s">
        <v>18</v>
      </c>
      <c r="C180" s="17"/>
      <c r="D180" s="19"/>
      <c r="E180" s="47"/>
      <c r="F180" s="11"/>
      <c r="G180" s="11"/>
      <c r="H180" s="17"/>
      <c r="I180" s="19"/>
      <c r="J180" s="33"/>
      <c r="K180" s="12"/>
      <c r="L180" s="9"/>
      <c r="M180" s="45"/>
      <c r="N180" s="87"/>
      <c r="O180" s="87"/>
      <c r="P180" s="87"/>
      <c r="Q180" s="87"/>
      <c r="R180" s="45"/>
      <c r="S180" s="87"/>
      <c r="T180" s="87"/>
      <c r="U180" s="87"/>
      <c r="V180" s="87"/>
      <c r="W180" s="45"/>
      <c r="X180" s="87"/>
      <c r="Y180" s="87"/>
      <c r="Z180" s="87"/>
      <c r="AA180" s="87"/>
      <c r="AB180" s="45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</row>
    <row r="181" spans="1:38" ht="15.75" customHeight="1">
      <c r="A181" s="164"/>
      <c r="B181" s="69" t="s">
        <v>19</v>
      </c>
      <c r="C181" s="18"/>
      <c r="D181" s="20"/>
      <c r="E181" s="49"/>
      <c r="F181" s="5"/>
      <c r="G181" s="5"/>
      <c r="H181" s="2"/>
      <c r="I181" s="20"/>
      <c r="J181" s="40"/>
      <c r="K181" s="2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</row>
    <row r="182" spans="1:38" ht="18" customHeight="1">
      <c r="A182" s="164" t="s">
        <v>60</v>
      </c>
      <c r="B182" s="6" t="s">
        <v>10</v>
      </c>
      <c r="C182" s="17">
        <v>1</v>
      </c>
      <c r="D182" s="19">
        <v>1885.51</v>
      </c>
      <c r="E182" s="47">
        <v>92.5</v>
      </c>
      <c r="F182" s="11"/>
      <c r="G182" s="11"/>
      <c r="H182" s="17">
        <v>3</v>
      </c>
      <c r="I182" s="19">
        <f>1890.25/3</f>
        <v>630.0833333333334</v>
      </c>
      <c r="J182" s="33">
        <f>(68.25+8.75)/3</f>
        <v>25.666666666666668</v>
      </c>
      <c r="K182" s="12"/>
      <c r="L182" s="9"/>
      <c r="M182" s="45">
        <v>2</v>
      </c>
      <c r="N182" s="19">
        <f>2699.12/2</f>
        <v>1349.56</v>
      </c>
      <c r="O182" s="33">
        <f>113.58/2</f>
        <v>56.79</v>
      </c>
      <c r="P182" s="87"/>
      <c r="Q182" s="87"/>
      <c r="R182" s="45">
        <v>2</v>
      </c>
      <c r="S182" s="19">
        <f>4254.89/2</f>
        <v>2127.445</v>
      </c>
      <c r="T182" s="33">
        <f>176.92/2</f>
        <v>88.46</v>
      </c>
      <c r="U182" s="87"/>
      <c r="V182" s="87"/>
      <c r="W182" s="45"/>
      <c r="X182" s="19"/>
      <c r="Y182" s="33"/>
      <c r="Z182" s="87"/>
      <c r="AA182" s="87"/>
      <c r="AB182" s="45"/>
      <c r="AC182" s="19"/>
      <c r="AD182" s="33"/>
      <c r="AE182" s="87"/>
      <c r="AF182" s="87"/>
      <c r="AG182" s="87"/>
      <c r="AH182" s="87"/>
      <c r="AI182" s="87"/>
      <c r="AJ182" s="87"/>
      <c r="AK182" s="87"/>
      <c r="AL182" s="87"/>
    </row>
    <row r="183" spans="1:38" ht="18" customHeight="1">
      <c r="A183" s="164"/>
      <c r="B183" s="6" t="s">
        <v>11</v>
      </c>
      <c r="C183" s="17">
        <v>6</v>
      </c>
      <c r="D183" s="19">
        <f>5417.76/6</f>
        <v>902.96</v>
      </c>
      <c r="E183" s="47">
        <f>260/6</f>
        <v>43.333333333333336</v>
      </c>
      <c r="F183" s="11"/>
      <c r="G183" s="11"/>
      <c r="H183" s="17">
        <v>7</v>
      </c>
      <c r="I183" s="19">
        <f>6883.96/7</f>
        <v>983.4228571428572</v>
      </c>
      <c r="J183" s="33">
        <f>(246.75+93.5)/7</f>
        <v>48.607142857142854</v>
      </c>
      <c r="K183" s="12"/>
      <c r="L183" s="9"/>
      <c r="M183" s="45">
        <v>5</v>
      </c>
      <c r="N183" s="19">
        <f>9670.05/5</f>
        <v>1934.0099999999998</v>
      </c>
      <c r="O183" s="33">
        <f>406.92/5</f>
        <v>81.384</v>
      </c>
      <c r="P183" s="87"/>
      <c r="Q183" s="87"/>
      <c r="R183" s="45">
        <v>8</v>
      </c>
      <c r="S183" s="19">
        <f>11638.86/8</f>
        <v>1454.8575</v>
      </c>
      <c r="T183" s="33">
        <f>484.42/8</f>
        <v>60.5525</v>
      </c>
      <c r="U183" s="87"/>
      <c r="V183" s="87"/>
      <c r="W183" s="45">
        <v>10</v>
      </c>
      <c r="X183" s="19">
        <f>10497.9/10</f>
        <v>1049.79</v>
      </c>
      <c r="Y183" s="33">
        <f>433.41/10</f>
        <v>43.341</v>
      </c>
      <c r="Z183" s="87"/>
      <c r="AA183" s="87"/>
      <c r="AB183" s="45">
        <v>17</v>
      </c>
      <c r="AC183" s="19">
        <f>8570.33/17</f>
        <v>504.1370588235294</v>
      </c>
      <c r="AD183" s="33">
        <f>353.83/AB183</f>
        <v>20.813529411764705</v>
      </c>
      <c r="AE183" s="87"/>
      <c r="AF183" s="87"/>
      <c r="AG183" s="45">
        <v>14</v>
      </c>
      <c r="AH183" s="45"/>
      <c r="AI183" s="19">
        <f>8192.03/AG183</f>
        <v>585.1450000000001</v>
      </c>
      <c r="AJ183" s="33">
        <f>336.64/AG183</f>
        <v>24.045714285714286</v>
      </c>
      <c r="AK183" s="87"/>
      <c r="AL183" s="87"/>
    </row>
    <row r="184" spans="1:38" ht="18" customHeight="1">
      <c r="A184" s="164"/>
      <c r="B184" s="6" t="s">
        <v>12</v>
      </c>
      <c r="C184" s="17"/>
      <c r="D184" s="19"/>
      <c r="E184" s="47"/>
      <c r="F184" s="11"/>
      <c r="G184" s="11"/>
      <c r="H184" s="17">
        <v>2</v>
      </c>
      <c r="I184" s="19">
        <f>380.24/2</f>
        <v>190.12</v>
      </c>
      <c r="J184" s="33">
        <f>8.5/2</f>
        <v>4.25</v>
      </c>
      <c r="K184" s="13"/>
      <c r="L184" s="9"/>
      <c r="M184" s="45">
        <v>2</v>
      </c>
      <c r="N184" s="19">
        <f>641.63/2</f>
        <v>320.815</v>
      </c>
      <c r="O184" s="33">
        <f>27/2</f>
        <v>13.5</v>
      </c>
      <c r="P184" s="87"/>
      <c r="Q184" s="87"/>
      <c r="R184" s="45">
        <v>2</v>
      </c>
      <c r="S184" s="19">
        <f>755.43/2</f>
        <v>377.715</v>
      </c>
      <c r="T184" s="33">
        <f>31.5/2</f>
        <v>15.75</v>
      </c>
      <c r="U184" s="87"/>
      <c r="V184" s="87"/>
      <c r="W184" s="45"/>
      <c r="X184" s="19"/>
      <c r="Y184" s="33"/>
      <c r="Z184" s="87"/>
      <c r="AA184" s="87"/>
      <c r="AB184" s="45"/>
      <c r="AC184" s="19"/>
      <c r="AD184" s="33"/>
      <c r="AE184" s="87"/>
      <c r="AF184" s="87"/>
      <c r="AG184" s="45"/>
      <c r="AH184" s="45"/>
      <c r="AI184" s="19"/>
      <c r="AJ184" s="33"/>
      <c r="AK184" s="87"/>
      <c r="AL184" s="87"/>
    </row>
    <row r="185" spans="1:38" ht="18" customHeight="1">
      <c r="A185" s="164"/>
      <c r="B185" s="6" t="s">
        <v>13</v>
      </c>
      <c r="C185" s="17"/>
      <c r="D185" s="19"/>
      <c r="E185" s="47"/>
      <c r="F185" s="11"/>
      <c r="G185" s="11"/>
      <c r="H185" s="17"/>
      <c r="I185" s="19"/>
      <c r="J185" s="33"/>
      <c r="K185" s="12"/>
      <c r="L185" s="9"/>
      <c r="M185" s="45"/>
      <c r="N185" s="19"/>
      <c r="O185" s="33"/>
      <c r="P185" s="87"/>
      <c r="Q185" s="87"/>
      <c r="R185" s="45"/>
      <c r="S185" s="19"/>
      <c r="T185" s="33"/>
      <c r="U185" s="87"/>
      <c r="V185" s="87"/>
      <c r="W185" s="45"/>
      <c r="X185" s="19"/>
      <c r="Y185" s="33"/>
      <c r="Z185" s="87"/>
      <c r="AA185" s="87"/>
      <c r="AB185" s="45"/>
      <c r="AC185" s="19"/>
      <c r="AD185" s="33"/>
      <c r="AE185" s="87"/>
      <c r="AF185" s="87"/>
      <c r="AG185" s="45"/>
      <c r="AH185" s="45"/>
      <c r="AI185" s="19"/>
      <c r="AJ185" s="33"/>
      <c r="AK185" s="87"/>
      <c r="AL185" s="87"/>
    </row>
    <row r="186" spans="1:38" ht="18" customHeight="1">
      <c r="A186" s="164"/>
      <c r="B186" s="6" t="s">
        <v>14</v>
      </c>
      <c r="C186" s="17"/>
      <c r="D186" s="19"/>
      <c r="E186" s="47"/>
      <c r="F186" s="11"/>
      <c r="G186" s="11"/>
      <c r="H186" s="17"/>
      <c r="I186" s="19"/>
      <c r="J186" s="33"/>
      <c r="K186" s="12"/>
      <c r="L186" s="9"/>
      <c r="M186" s="45"/>
      <c r="N186" s="19"/>
      <c r="O186" s="33"/>
      <c r="P186" s="87"/>
      <c r="Q186" s="87"/>
      <c r="R186" s="45"/>
      <c r="S186" s="19"/>
      <c r="T186" s="33"/>
      <c r="U186" s="87"/>
      <c r="V186" s="87"/>
      <c r="W186" s="45">
        <v>1</v>
      </c>
      <c r="X186" s="19">
        <v>48.44</v>
      </c>
      <c r="Y186" s="33">
        <v>2</v>
      </c>
      <c r="Z186" s="87"/>
      <c r="AA186" s="87"/>
      <c r="AB186" s="45"/>
      <c r="AC186" s="19"/>
      <c r="AD186" s="33"/>
      <c r="AE186" s="87"/>
      <c r="AF186" s="87"/>
      <c r="AG186" s="45">
        <v>1</v>
      </c>
      <c r="AH186" s="45"/>
      <c r="AI186" s="19">
        <v>78.25</v>
      </c>
      <c r="AJ186" s="33">
        <v>3.25</v>
      </c>
      <c r="AK186" s="87"/>
      <c r="AL186" s="87"/>
    </row>
    <row r="187" spans="1:38" ht="18" customHeight="1">
      <c r="A187" s="164"/>
      <c r="B187" s="6" t="s">
        <v>15</v>
      </c>
      <c r="C187" s="17">
        <v>1</v>
      </c>
      <c r="D187" s="19">
        <v>193.66</v>
      </c>
      <c r="E187" s="47">
        <v>9.5</v>
      </c>
      <c r="F187" s="11"/>
      <c r="G187" s="11"/>
      <c r="H187" s="17"/>
      <c r="I187" s="19"/>
      <c r="J187" s="33"/>
      <c r="K187" s="12"/>
      <c r="L187" s="9"/>
      <c r="M187" s="45"/>
      <c r="N187" s="19"/>
      <c r="O187" s="33"/>
      <c r="P187" s="87"/>
      <c r="Q187" s="87"/>
      <c r="R187" s="45"/>
      <c r="S187" s="19"/>
      <c r="T187" s="33"/>
      <c r="U187" s="87"/>
      <c r="V187" s="87"/>
      <c r="W187" s="45"/>
      <c r="X187" s="19"/>
      <c r="Y187" s="33"/>
      <c r="Z187" s="87"/>
      <c r="AA187" s="87"/>
      <c r="AB187" s="45"/>
      <c r="AC187" s="19"/>
      <c r="AD187" s="33"/>
      <c r="AE187" s="87"/>
      <c r="AF187" s="87"/>
      <c r="AG187" s="45"/>
      <c r="AH187" s="45"/>
      <c r="AI187" s="19"/>
      <c r="AJ187" s="33"/>
      <c r="AK187" s="87"/>
      <c r="AL187" s="87"/>
    </row>
    <row r="188" spans="1:38" ht="18" customHeight="1">
      <c r="A188" s="164"/>
      <c r="B188" s="6" t="s">
        <v>16</v>
      </c>
      <c r="C188" s="17">
        <v>2</v>
      </c>
      <c r="D188" s="19">
        <f>1121.06/2</f>
        <v>560.53</v>
      </c>
      <c r="E188" s="47">
        <f>55/2</f>
        <v>27.5</v>
      </c>
      <c r="F188" s="11"/>
      <c r="G188" s="11"/>
      <c r="H188" s="17">
        <v>1</v>
      </c>
      <c r="I188" s="19">
        <v>962.74</v>
      </c>
      <c r="J188" s="33">
        <f>21+16.5</f>
        <v>37.5</v>
      </c>
      <c r="K188" s="12"/>
      <c r="L188" s="9"/>
      <c r="M188" s="45">
        <v>1</v>
      </c>
      <c r="N188" s="19">
        <v>843.62</v>
      </c>
      <c r="O188" s="33">
        <v>35.5</v>
      </c>
      <c r="P188" s="87"/>
      <c r="Q188" s="87"/>
      <c r="R188" s="45">
        <v>2</v>
      </c>
      <c r="S188" s="19">
        <f>1397.53/2</f>
        <v>698.765</v>
      </c>
      <c r="T188" s="33">
        <f>58/2</f>
        <v>29</v>
      </c>
      <c r="U188" s="87"/>
      <c r="V188" s="87"/>
      <c r="W188" s="45">
        <v>5</v>
      </c>
      <c r="X188" s="19">
        <f>1780.28/5</f>
        <v>356.056</v>
      </c>
      <c r="Y188" s="33">
        <f>73.5/5</f>
        <v>14.7</v>
      </c>
      <c r="Z188" s="87"/>
      <c r="AA188" s="87"/>
      <c r="AB188" s="45">
        <v>3</v>
      </c>
      <c r="AC188" s="19">
        <f>3360.75/AB188</f>
        <v>1120.25</v>
      </c>
      <c r="AD188" s="33">
        <f>138.75/AB188</f>
        <v>46.25</v>
      </c>
      <c r="AE188" s="87"/>
      <c r="AF188" s="87"/>
      <c r="AG188" s="45">
        <v>5</v>
      </c>
      <c r="AH188" s="45"/>
      <c r="AI188" s="19">
        <f>5550.62/AG188</f>
        <v>1110.124</v>
      </c>
      <c r="AJ188" s="33">
        <f>228.75/AG188</f>
        <v>45.75</v>
      </c>
      <c r="AK188" s="87"/>
      <c r="AL188" s="87"/>
    </row>
    <row r="189" spans="1:38" ht="18" customHeight="1">
      <c r="A189" s="164"/>
      <c r="B189" s="6" t="s">
        <v>17</v>
      </c>
      <c r="C189" s="17"/>
      <c r="D189" s="19"/>
      <c r="E189" s="47"/>
      <c r="F189" s="11"/>
      <c r="G189" s="11"/>
      <c r="H189" s="17"/>
      <c r="I189" s="19"/>
      <c r="J189" s="33"/>
      <c r="K189" s="12"/>
      <c r="L189" s="9"/>
      <c r="M189" s="45"/>
      <c r="N189" s="19"/>
      <c r="O189" s="33"/>
      <c r="P189" s="87"/>
      <c r="Q189" s="87"/>
      <c r="R189" s="45"/>
      <c r="S189" s="19"/>
      <c r="T189" s="33"/>
      <c r="U189" s="87"/>
      <c r="V189" s="87"/>
      <c r="W189" s="45"/>
      <c r="X189" s="19"/>
      <c r="Y189" s="33"/>
      <c r="Z189" s="87"/>
      <c r="AA189" s="87"/>
      <c r="AB189" s="45"/>
      <c r="AC189" s="19"/>
      <c r="AD189" s="33"/>
      <c r="AE189" s="87"/>
      <c r="AF189" s="87"/>
      <c r="AG189" s="45"/>
      <c r="AH189" s="45"/>
      <c r="AI189" s="19"/>
      <c r="AJ189" s="33"/>
      <c r="AK189" s="87"/>
      <c r="AL189" s="87"/>
    </row>
    <row r="190" spans="1:38" ht="18" customHeight="1">
      <c r="A190" s="164"/>
      <c r="B190" s="6" t="s">
        <v>90</v>
      </c>
      <c r="C190" s="17"/>
      <c r="D190" s="19"/>
      <c r="E190" s="47"/>
      <c r="F190" s="11"/>
      <c r="G190" s="11"/>
      <c r="H190" s="17"/>
      <c r="I190" s="19"/>
      <c r="J190" s="33"/>
      <c r="K190" s="12"/>
      <c r="L190" s="9"/>
      <c r="M190" s="45"/>
      <c r="N190" s="19"/>
      <c r="O190" s="33"/>
      <c r="P190" s="87"/>
      <c r="Q190" s="87"/>
      <c r="R190" s="45"/>
      <c r="S190" s="19"/>
      <c r="T190" s="33"/>
      <c r="U190" s="87"/>
      <c r="V190" s="87"/>
      <c r="W190" s="45">
        <v>5</v>
      </c>
      <c r="X190" s="19">
        <f>2567.49/5</f>
        <v>513.4979999999999</v>
      </c>
      <c r="Y190" s="33">
        <f>106/5</f>
        <v>21.2</v>
      </c>
      <c r="Z190" s="87"/>
      <c r="AA190" s="87"/>
      <c r="AB190" s="45">
        <v>7</v>
      </c>
      <c r="AC190" s="19">
        <f>5332.87/AB190</f>
        <v>761.8385714285714</v>
      </c>
      <c r="AD190" s="33">
        <f>220.17/AB190</f>
        <v>31.45285714285714</v>
      </c>
      <c r="AE190" s="87"/>
      <c r="AF190" s="87"/>
      <c r="AG190" s="45">
        <v>17</v>
      </c>
      <c r="AH190" s="45"/>
      <c r="AI190" s="19">
        <f>18374.89/AG190</f>
        <v>1080.875882352941</v>
      </c>
      <c r="AJ190" s="33">
        <f>755.66/AG190</f>
        <v>44.45058823529411</v>
      </c>
      <c r="AK190" s="87"/>
      <c r="AL190" s="87"/>
    </row>
    <row r="191" spans="1:38" ht="18" customHeight="1">
      <c r="A191" s="164"/>
      <c r="B191" s="6" t="s">
        <v>18</v>
      </c>
      <c r="C191" s="17"/>
      <c r="D191" s="19"/>
      <c r="E191" s="47"/>
      <c r="F191" s="11"/>
      <c r="G191" s="11"/>
      <c r="H191" s="17"/>
      <c r="I191" s="19"/>
      <c r="J191" s="33"/>
      <c r="K191" s="12"/>
      <c r="L191" s="9"/>
      <c r="M191" s="45"/>
      <c r="N191" s="19"/>
      <c r="O191" s="33"/>
      <c r="P191" s="87"/>
      <c r="Q191" s="87"/>
      <c r="R191" s="45">
        <v>4</v>
      </c>
      <c r="S191" s="19">
        <f>218/4</f>
        <v>54.5</v>
      </c>
      <c r="T191" s="33">
        <f>9/4</f>
        <v>2.25</v>
      </c>
      <c r="U191" s="87"/>
      <c r="V191" s="87"/>
      <c r="W191" s="45">
        <v>4</v>
      </c>
      <c r="X191" s="19">
        <f>2438.4/4</f>
        <v>609.6</v>
      </c>
      <c r="Y191" s="33">
        <f>100.67/4</f>
        <v>25.1675</v>
      </c>
      <c r="Z191" s="87"/>
      <c r="AA191" s="87"/>
      <c r="AB191" s="45">
        <v>8</v>
      </c>
      <c r="AC191" s="19">
        <f>5522.52/AB191</f>
        <v>690.315</v>
      </c>
      <c r="AD191" s="33">
        <f>228/AB191</f>
        <v>28.5</v>
      </c>
      <c r="AE191" s="87"/>
      <c r="AF191" s="87"/>
      <c r="AG191" s="45">
        <v>10</v>
      </c>
      <c r="AH191" s="45"/>
      <c r="AI191" s="19">
        <f>7384.45/10</f>
        <v>738.4449999999999</v>
      </c>
      <c r="AJ191" s="33">
        <f>303/10</f>
        <v>30.3</v>
      </c>
      <c r="AK191" s="87"/>
      <c r="AL191" s="87"/>
    </row>
    <row r="192" spans="1:38" ht="18" customHeight="1">
      <c r="A192" s="164"/>
      <c r="B192" s="69" t="s">
        <v>19</v>
      </c>
      <c r="C192" s="18">
        <f>SUM(C182:C191)</f>
        <v>10</v>
      </c>
      <c r="D192" s="20">
        <v>861.8</v>
      </c>
      <c r="E192" s="49">
        <v>42</v>
      </c>
      <c r="F192" s="5"/>
      <c r="G192" s="5"/>
      <c r="H192" s="18">
        <f>SUM(H182:H191)</f>
        <v>13</v>
      </c>
      <c r="I192" s="20">
        <v>778.75</v>
      </c>
      <c r="J192" s="40">
        <v>35.63</v>
      </c>
      <c r="K192" s="2"/>
      <c r="L192" s="3"/>
      <c r="M192" s="18">
        <f>SUM(M182:M191)</f>
        <v>10</v>
      </c>
      <c r="N192" s="20">
        <f>13854.41/10</f>
        <v>1385.441</v>
      </c>
      <c r="O192" s="40">
        <f>583/10</f>
        <v>58.3</v>
      </c>
      <c r="P192" s="3"/>
      <c r="Q192" s="3"/>
      <c r="R192" s="18">
        <f>SUM(R182:R191)</f>
        <v>18</v>
      </c>
      <c r="S192" s="20">
        <f>18264.71/18</f>
        <v>1014.7061111111111</v>
      </c>
      <c r="T192" s="40">
        <f>759.84/18</f>
        <v>42.21333333333334</v>
      </c>
      <c r="U192" s="3"/>
      <c r="V192" s="3"/>
      <c r="W192" s="18">
        <f>SUM(W182:W191)</f>
        <v>25</v>
      </c>
      <c r="X192" s="20">
        <f>17332.51/25</f>
        <v>693.3004</v>
      </c>
      <c r="Y192" s="40">
        <f>715.58/25</f>
        <v>28.6232</v>
      </c>
      <c r="Z192" s="3"/>
      <c r="AA192" s="3"/>
      <c r="AB192" s="18">
        <f>SUM(AB182:AB191)</f>
        <v>35</v>
      </c>
      <c r="AC192" s="20">
        <f>22786.47/AB192</f>
        <v>651.042</v>
      </c>
      <c r="AD192" s="40">
        <f>940.75/AB192</f>
        <v>26.87857142857143</v>
      </c>
      <c r="AE192" s="3"/>
      <c r="AF192" s="3"/>
      <c r="AG192" s="18">
        <f>SUM(AG182:AG191)</f>
        <v>47</v>
      </c>
      <c r="AH192" s="18"/>
      <c r="AI192" s="20">
        <f>39580.24/AG192</f>
        <v>842.1327659574467</v>
      </c>
      <c r="AJ192" s="40">
        <f>1627.3/AG192</f>
        <v>34.62340425531915</v>
      </c>
      <c r="AK192" s="3"/>
      <c r="AL192" s="3"/>
    </row>
    <row r="193" spans="1:38" ht="18" customHeight="1">
      <c r="A193" s="164" t="s">
        <v>43</v>
      </c>
      <c r="B193" s="6" t="s">
        <v>10</v>
      </c>
      <c r="C193" s="17">
        <v>1</v>
      </c>
      <c r="D193" s="19">
        <v>4168.36</v>
      </c>
      <c r="E193" s="47">
        <v>169</v>
      </c>
      <c r="F193" s="11"/>
      <c r="G193" s="11"/>
      <c r="H193" s="17">
        <v>1</v>
      </c>
      <c r="I193" s="17">
        <v>1000.72</v>
      </c>
      <c r="J193" s="33">
        <v>10.25</v>
      </c>
      <c r="K193" s="12"/>
      <c r="L193" s="9"/>
      <c r="M193" s="45">
        <v>3</v>
      </c>
      <c r="N193" s="21">
        <f>5775.61/3</f>
        <v>1925.2033333333331</v>
      </c>
      <c r="O193" s="33">
        <f>243.36/3</f>
        <v>81.12</v>
      </c>
      <c r="P193" s="87"/>
      <c r="Q193" s="87"/>
      <c r="R193" s="45">
        <v>3</v>
      </c>
      <c r="S193" s="21">
        <f>5428.88/3</f>
        <v>1809.6266666666668</v>
      </c>
      <c r="T193" s="33">
        <f>228.75/3</f>
        <v>76.25</v>
      </c>
      <c r="U193" s="87"/>
      <c r="V193" s="87"/>
      <c r="W193" s="45"/>
      <c r="X193" s="21"/>
      <c r="Y193" s="33"/>
      <c r="Z193" s="87"/>
      <c r="AA193" s="87"/>
      <c r="AB193" s="45"/>
      <c r="AC193" s="21"/>
      <c r="AD193" s="33"/>
      <c r="AE193" s="87"/>
      <c r="AF193" s="87"/>
      <c r="AG193" s="87"/>
      <c r="AH193" s="87"/>
      <c r="AI193" s="87"/>
      <c r="AJ193" s="87"/>
      <c r="AK193" s="87"/>
      <c r="AL193" s="87"/>
    </row>
    <row r="194" spans="1:38" ht="18" customHeight="1">
      <c r="A194" s="164"/>
      <c r="B194" s="6" t="s">
        <v>11</v>
      </c>
      <c r="C194" s="17">
        <v>13</v>
      </c>
      <c r="D194" s="19">
        <f>37760.65/13</f>
        <v>2904.665384615385</v>
      </c>
      <c r="E194" s="47">
        <f>1523.25/13</f>
        <v>117.17307692307692</v>
      </c>
      <c r="F194" s="11"/>
      <c r="G194" s="11"/>
      <c r="H194" s="17">
        <v>7</v>
      </c>
      <c r="I194" s="21">
        <f>27265.78/7</f>
        <v>3895.1114285714284</v>
      </c>
      <c r="J194" s="33">
        <f>(933+83.75)/7</f>
        <v>145.25</v>
      </c>
      <c r="K194" s="12"/>
      <c r="L194" s="9"/>
      <c r="M194" s="45">
        <v>6</v>
      </c>
      <c r="N194" s="21">
        <f>8515.8/6</f>
        <v>1419.3</v>
      </c>
      <c r="O194" s="33">
        <f>358.82/6</f>
        <v>59.803333333333335</v>
      </c>
      <c r="P194" s="87"/>
      <c r="Q194" s="87"/>
      <c r="R194" s="45">
        <v>6</v>
      </c>
      <c r="S194" s="21">
        <f>16405.06/6</f>
        <v>2734.1766666666667</v>
      </c>
      <c r="T194" s="33">
        <f>691.24/6</f>
        <v>115.20666666666666</v>
      </c>
      <c r="U194" s="87"/>
      <c r="V194" s="87"/>
      <c r="W194" s="45">
        <v>8</v>
      </c>
      <c r="X194" s="21">
        <f>35973.1/8</f>
        <v>4496.6375</v>
      </c>
      <c r="Y194" s="33">
        <f>1494.97/8</f>
        <v>186.87125</v>
      </c>
      <c r="Z194" s="87"/>
      <c r="AA194" s="87"/>
      <c r="AB194" s="45"/>
      <c r="AC194" s="21"/>
      <c r="AD194" s="33"/>
      <c r="AE194" s="87"/>
      <c r="AF194" s="87"/>
      <c r="AG194" s="87"/>
      <c r="AH194" s="87"/>
      <c r="AI194" s="87"/>
      <c r="AJ194" s="87"/>
      <c r="AK194" s="87"/>
      <c r="AL194" s="87"/>
    </row>
    <row r="195" spans="1:38" ht="18" customHeight="1">
      <c r="A195" s="164"/>
      <c r="B195" s="6" t="s">
        <v>12</v>
      </c>
      <c r="C195" s="17"/>
      <c r="D195" s="19"/>
      <c r="E195" s="47"/>
      <c r="F195" s="11"/>
      <c r="G195" s="11"/>
      <c r="H195" s="17">
        <v>1</v>
      </c>
      <c r="I195" s="17">
        <v>1783.92</v>
      </c>
      <c r="J195" s="33">
        <v>37</v>
      </c>
      <c r="K195" s="13"/>
      <c r="L195" s="9"/>
      <c r="M195" s="45">
        <v>2</v>
      </c>
      <c r="N195" s="21">
        <f>5660.27/2</f>
        <v>2830.135</v>
      </c>
      <c r="O195" s="33">
        <f>238.5/2</f>
        <v>119.25</v>
      </c>
      <c r="P195" s="87"/>
      <c r="Q195" s="87"/>
      <c r="R195" s="45">
        <v>3</v>
      </c>
      <c r="S195" s="21">
        <f>9083.73/3</f>
        <v>3027.91</v>
      </c>
      <c r="T195" s="33">
        <f>382.75/3</f>
        <v>127.58333333333333</v>
      </c>
      <c r="U195" s="87"/>
      <c r="V195" s="87"/>
      <c r="W195" s="45"/>
      <c r="X195" s="21"/>
      <c r="Y195" s="33"/>
      <c r="Z195" s="87"/>
      <c r="AA195" s="87"/>
      <c r="AB195" s="45"/>
      <c r="AC195" s="21"/>
      <c r="AD195" s="33"/>
      <c r="AE195" s="87"/>
      <c r="AF195" s="87"/>
      <c r="AG195" s="87"/>
      <c r="AH195" s="87"/>
      <c r="AI195" s="87"/>
      <c r="AJ195" s="87"/>
      <c r="AK195" s="87"/>
      <c r="AL195" s="87"/>
    </row>
    <row r="196" spans="1:38" ht="18" customHeight="1">
      <c r="A196" s="164"/>
      <c r="B196" s="6" t="s">
        <v>13</v>
      </c>
      <c r="C196" s="17">
        <v>8</v>
      </c>
      <c r="D196" s="19">
        <f>11505.08/8</f>
        <v>1438.135</v>
      </c>
      <c r="E196" s="47">
        <f>485.75/8</f>
        <v>60.71875</v>
      </c>
      <c r="F196" s="11"/>
      <c r="G196" s="11"/>
      <c r="H196" s="17">
        <v>7</v>
      </c>
      <c r="I196" s="21">
        <f>5920.75/7</f>
        <v>845.8214285714286</v>
      </c>
      <c r="J196" s="33">
        <f>(254.5+10.25)/7</f>
        <v>37.82142857142857</v>
      </c>
      <c r="K196" s="12"/>
      <c r="L196" s="9"/>
      <c r="M196" s="45">
        <v>2</v>
      </c>
      <c r="N196" s="21">
        <f>3046.34/2</f>
        <v>1523.17</v>
      </c>
      <c r="O196" s="33">
        <f>128.36/2</f>
        <v>64.18</v>
      </c>
      <c r="P196" s="87"/>
      <c r="Q196" s="87"/>
      <c r="R196" s="45">
        <v>3</v>
      </c>
      <c r="S196" s="21">
        <f>7855.56/3</f>
        <v>2618.52</v>
      </c>
      <c r="T196" s="33">
        <f>331/3</f>
        <v>110.33333333333333</v>
      </c>
      <c r="U196" s="87"/>
      <c r="V196" s="87"/>
      <c r="W196" s="45"/>
      <c r="X196" s="21"/>
      <c r="Y196" s="33"/>
      <c r="Z196" s="87"/>
      <c r="AA196" s="87"/>
      <c r="AB196" s="45"/>
      <c r="AC196" s="21"/>
      <c r="AD196" s="33"/>
      <c r="AE196" s="87"/>
      <c r="AF196" s="87"/>
      <c r="AG196" s="87"/>
      <c r="AH196" s="87"/>
      <c r="AI196" s="87"/>
      <c r="AJ196" s="87"/>
      <c r="AK196" s="87"/>
      <c r="AL196" s="87"/>
    </row>
    <row r="197" spans="1:38" ht="18" customHeight="1">
      <c r="A197" s="164"/>
      <c r="B197" s="6" t="s">
        <v>14</v>
      </c>
      <c r="C197" s="17"/>
      <c r="D197" s="19"/>
      <c r="E197" s="47"/>
      <c r="F197" s="11"/>
      <c r="G197" s="11"/>
      <c r="H197" s="17"/>
      <c r="I197" s="17"/>
      <c r="J197" s="33"/>
      <c r="K197" s="12"/>
      <c r="L197" s="9"/>
      <c r="M197" s="45">
        <v>2</v>
      </c>
      <c r="N197" s="21">
        <f>2610.61/2</f>
        <v>1305.305</v>
      </c>
      <c r="O197" s="33">
        <f>110/2</f>
        <v>55</v>
      </c>
      <c r="P197" s="87"/>
      <c r="Q197" s="87"/>
      <c r="R197" s="45">
        <v>2</v>
      </c>
      <c r="S197" s="21">
        <f>1851.16/2</f>
        <v>925.58</v>
      </c>
      <c r="T197" s="33">
        <f>78/2</f>
        <v>39</v>
      </c>
      <c r="U197" s="87"/>
      <c r="V197" s="87"/>
      <c r="W197" s="45">
        <v>2</v>
      </c>
      <c r="X197" s="21">
        <f>2160.84/2</f>
        <v>1080.42</v>
      </c>
      <c r="Y197" s="33">
        <f>74/2</f>
        <v>37</v>
      </c>
      <c r="Z197" s="87"/>
      <c r="AA197" s="87"/>
      <c r="AB197" s="45"/>
      <c r="AC197" s="21"/>
      <c r="AD197" s="33"/>
      <c r="AE197" s="87"/>
      <c r="AF197" s="87"/>
      <c r="AG197" s="87"/>
      <c r="AH197" s="87"/>
      <c r="AI197" s="87"/>
      <c r="AJ197" s="87"/>
      <c r="AK197" s="87"/>
      <c r="AL197" s="87"/>
    </row>
    <row r="198" spans="1:38" ht="18" customHeight="1">
      <c r="A198" s="164"/>
      <c r="B198" s="6" t="s">
        <v>15</v>
      </c>
      <c r="C198" s="17"/>
      <c r="D198" s="19"/>
      <c r="E198" s="47"/>
      <c r="F198" s="11"/>
      <c r="G198" s="11"/>
      <c r="H198" s="17">
        <v>2</v>
      </c>
      <c r="I198" s="17">
        <f>1450.32/2</f>
        <v>725.16</v>
      </c>
      <c r="J198" s="33">
        <f>39.75/2</f>
        <v>19.875</v>
      </c>
      <c r="K198" s="12"/>
      <c r="L198" s="9"/>
      <c r="M198" s="45">
        <v>3</v>
      </c>
      <c r="N198" s="21">
        <f>2613.22/3</f>
        <v>871.0733333333333</v>
      </c>
      <c r="O198" s="33">
        <f>110.11/3</f>
        <v>36.70333333333333</v>
      </c>
      <c r="P198" s="87"/>
      <c r="Q198" s="87"/>
      <c r="R198" s="45">
        <v>3</v>
      </c>
      <c r="S198" s="21">
        <f>5488.21/3</f>
        <v>1829.4033333333334</v>
      </c>
      <c r="T198" s="33">
        <f>231.25/3</f>
        <v>77.08333333333333</v>
      </c>
      <c r="U198" s="87"/>
      <c r="V198" s="87"/>
      <c r="W198" s="45"/>
      <c r="X198" s="21"/>
      <c r="Y198" s="33"/>
      <c r="Z198" s="87"/>
      <c r="AA198" s="87"/>
      <c r="AB198" s="45"/>
      <c r="AC198" s="21"/>
      <c r="AD198" s="33"/>
      <c r="AE198" s="87"/>
      <c r="AF198" s="87"/>
      <c r="AG198" s="87"/>
      <c r="AH198" s="87"/>
      <c r="AI198" s="87"/>
      <c r="AJ198" s="87"/>
      <c r="AK198" s="87"/>
      <c r="AL198" s="87"/>
    </row>
    <row r="199" spans="1:38" ht="18" customHeight="1">
      <c r="A199" s="164"/>
      <c r="B199" s="6" t="s">
        <v>16</v>
      </c>
      <c r="C199" s="17">
        <v>5</v>
      </c>
      <c r="D199" s="19">
        <f>12197.52/5</f>
        <v>2439.504</v>
      </c>
      <c r="E199" s="47">
        <f>460/5</f>
        <v>92</v>
      </c>
      <c r="F199" s="11"/>
      <c r="G199" s="11"/>
      <c r="H199" s="17">
        <v>8</v>
      </c>
      <c r="I199" s="21">
        <f>7658.49/8</f>
        <v>957.31125</v>
      </c>
      <c r="J199" s="33">
        <f>(29.5+43.75)/8</f>
        <v>9.15625</v>
      </c>
      <c r="K199" s="12"/>
      <c r="L199" s="9"/>
      <c r="M199" s="45">
        <v>11</v>
      </c>
      <c r="N199" s="21">
        <f>18128.54/11</f>
        <v>1648.049090909091</v>
      </c>
      <c r="O199" s="33">
        <f>763.86/11</f>
        <v>69.44181818181818</v>
      </c>
      <c r="P199" s="87"/>
      <c r="Q199" s="87"/>
      <c r="R199" s="45">
        <v>10</v>
      </c>
      <c r="S199" s="21">
        <f>8069.15/10</f>
        <v>806.915</v>
      </c>
      <c r="T199" s="33">
        <f>340/10</f>
        <v>34</v>
      </c>
      <c r="U199" s="87"/>
      <c r="V199" s="87"/>
      <c r="W199" s="45">
        <v>4</v>
      </c>
      <c r="X199" s="21">
        <f>3688.25/4</f>
        <v>922.0625</v>
      </c>
      <c r="Y199" s="33">
        <f>155/4</f>
        <v>38.75</v>
      </c>
      <c r="Z199" s="87"/>
      <c r="AA199" s="87"/>
      <c r="AB199" s="45"/>
      <c r="AC199" s="21"/>
      <c r="AD199" s="33"/>
      <c r="AE199" s="87"/>
      <c r="AF199" s="87"/>
      <c r="AG199" s="87"/>
      <c r="AH199" s="87"/>
      <c r="AI199" s="87"/>
      <c r="AJ199" s="87"/>
      <c r="AK199" s="87"/>
      <c r="AL199" s="87"/>
    </row>
    <row r="200" spans="1:38" ht="18" customHeight="1">
      <c r="A200" s="164"/>
      <c r="B200" s="6" t="s">
        <v>17</v>
      </c>
      <c r="C200" s="17"/>
      <c r="D200" s="19"/>
      <c r="E200" s="47"/>
      <c r="F200" s="11"/>
      <c r="G200" s="11"/>
      <c r="H200" s="17"/>
      <c r="I200" s="17"/>
      <c r="J200" s="33"/>
      <c r="K200" s="12"/>
      <c r="L200" s="9"/>
      <c r="M200" s="45"/>
      <c r="N200" s="21"/>
      <c r="O200" s="33"/>
      <c r="P200" s="87"/>
      <c r="Q200" s="87"/>
      <c r="R200" s="45"/>
      <c r="S200" s="21"/>
      <c r="T200" s="33"/>
      <c r="U200" s="87"/>
      <c r="V200" s="87"/>
      <c r="W200" s="45"/>
      <c r="X200" s="21"/>
      <c r="Y200" s="33"/>
      <c r="Z200" s="87"/>
      <c r="AA200" s="87"/>
      <c r="AB200" s="45"/>
      <c r="AC200" s="21"/>
      <c r="AD200" s="33"/>
      <c r="AE200" s="87"/>
      <c r="AF200" s="87"/>
      <c r="AG200" s="87"/>
      <c r="AH200" s="87"/>
      <c r="AI200" s="87"/>
      <c r="AJ200" s="87"/>
      <c r="AK200" s="87"/>
      <c r="AL200" s="87"/>
    </row>
    <row r="201" spans="1:38" ht="18" customHeight="1">
      <c r="A201" s="164"/>
      <c r="B201" s="6" t="s">
        <v>90</v>
      </c>
      <c r="C201" s="17"/>
      <c r="D201" s="19"/>
      <c r="E201" s="47"/>
      <c r="F201" s="11"/>
      <c r="G201" s="11"/>
      <c r="H201" s="17"/>
      <c r="I201" s="17"/>
      <c r="J201" s="33"/>
      <c r="K201" s="12"/>
      <c r="L201" s="9"/>
      <c r="M201" s="45"/>
      <c r="N201" s="21"/>
      <c r="O201" s="33"/>
      <c r="P201" s="87"/>
      <c r="Q201" s="87"/>
      <c r="R201" s="45"/>
      <c r="S201" s="21"/>
      <c r="T201" s="33"/>
      <c r="U201" s="87"/>
      <c r="V201" s="87"/>
      <c r="W201" s="45">
        <v>13</v>
      </c>
      <c r="X201" s="21">
        <f>21588.22/13</f>
        <v>1660.6323076923077</v>
      </c>
      <c r="Y201" s="33">
        <f>856.82/13</f>
        <v>65.90923076923077</v>
      </c>
      <c r="Z201" s="87"/>
      <c r="AA201" s="87"/>
      <c r="AB201" s="45"/>
      <c r="AC201" s="21"/>
      <c r="AD201" s="33"/>
      <c r="AE201" s="87"/>
      <c r="AF201" s="87"/>
      <c r="AG201" s="87"/>
      <c r="AH201" s="87"/>
      <c r="AI201" s="87"/>
      <c r="AJ201" s="87"/>
      <c r="AK201" s="87"/>
      <c r="AL201" s="87"/>
    </row>
    <row r="202" spans="1:38" ht="18" customHeight="1">
      <c r="A202" s="164"/>
      <c r="B202" s="6" t="s">
        <v>18</v>
      </c>
      <c r="C202" s="17">
        <v>3</v>
      </c>
      <c r="D202" s="19">
        <f>12193.45/3</f>
        <v>4064.4833333333336</v>
      </c>
      <c r="E202" s="47">
        <f>558.75/3</f>
        <v>186.25</v>
      </c>
      <c r="F202" s="11"/>
      <c r="G202" s="11"/>
      <c r="H202" s="17">
        <v>3</v>
      </c>
      <c r="I202" s="17">
        <f>8548.71/3</f>
        <v>2849.5699999999997</v>
      </c>
      <c r="J202" s="33">
        <f>(208.5+164.5)/3</f>
        <v>124.33333333333333</v>
      </c>
      <c r="K202" s="12"/>
      <c r="L202" s="9"/>
      <c r="M202" s="45">
        <v>3</v>
      </c>
      <c r="N202" s="21">
        <f>10305.97/3</f>
        <v>3435.3233333333333</v>
      </c>
      <c r="O202" s="33">
        <f>434.25/3</f>
        <v>144.75</v>
      </c>
      <c r="P202" s="87"/>
      <c r="Q202" s="87"/>
      <c r="R202" s="45">
        <v>2</v>
      </c>
      <c r="S202" s="21">
        <f>5945.07/2</f>
        <v>2972.535</v>
      </c>
      <c r="T202" s="33">
        <f>250.5/2</f>
        <v>125.25</v>
      </c>
      <c r="U202" s="87"/>
      <c r="V202" s="87"/>
      <c r="W202" s="45">
        <v>1</v>
      </c>
      <c r="X202" s="21">
        <v>1552.64</v>
      </c>
      <c r="Y202" s="33">
        <v>65.25</v>
      </c>
      <c r="Z202" s="87"/>
      <c r="AA202" s="87"/>
      <c r="AB202" s="45"/>
      <c r="AC202" s="21"/>
      <c r="AD202" s="33"/>
      <c r="AE202" s="87"/>
      <c r="AF202" s="87"/>
      <c r="AG202" s="87"/>
      <c r="AH202" s="87"/>
      <c r="AI202" s="87"/>
      <c r="AJ202" s="87"/>
      <c r="AK202" s="87"/>
      <c r="AL202" s="87"/>
    </row>
    <row r="203" spans="1:38" ht="18" customHeight="1">
      <c r="A203" s="164"/>
      <c r="B203" s="69" t="s">
        <v>19</v>
      </c>
      <c r="C203" s="18">
        <f>SUM(C193:C202)</f>
        <v>30</v>
      </c>
      <c r="D203" s="20">
        <v>2594.17</v>
      </c>
      <c r="E203" s="49">
        <v>107</v>
      </c>
      <c r="F203" s="5"/>
      <c r="G203" s="5"/>
      <c r="H203" s="18">
        <f>SUM(H193:H202)</f>
        <v>29</v>
      </c>
      <c r="I203" s="67">
        <v>1889.64</v>
      </c>
      <c r="J203" s="40">
        <v>62.58</v>
      </c>
      <c r="K203" s="2"/>
      <c r="L203" s="3"/>
      <c r="M203" s="18">
        <f>SUM(M193:M202)</f>
        <v>32</v>
      </c>
      <c r="N203" s="67">
        <f>56656.36/32</f>
        <v>1770.51125</v>
      </c>
      <c r="O203" s="40">
        <f>2387.26/32</f>
        <v>74.601875</v>
      </c>
      <c r="P203" s="3"/>
      <c r="Q203" s="3"/>
      <c r="R203" s="18">
        <f>SUM(R193:R202)</f>
        <v>32</v>
      </c>
      <c r="S203" s="67">
        <f>60126.83/32</f>
        <v>1878.9634375</v>
      </c>
      <c r="T203" s="40">
        <f>2533.49/32</f>
        <v>79.1715625</v>
      </c>
      <c r="U203" s="3"/>
      <c r="V203" s="3"/>
      <c r="W203" s="18">
        <f>SUM(W193:W202)</f>
        <v>28</v>
      </c>
      <c r="X203" s="67">
        <f>64963.05/28</f>
        <v>2320.108928571429</v>
      </c>
      <c r="Y203" s="40">
        <f>2646.04/28</f>
        <v>94.50142857142858</v>
      </c>
      <c r="Z203" s="3"/>
      <c r="AA203" s="3"/>
      <c r="AB203" s="18"/>
      <c r="AC203" s="67"/>
      <c r="AD203" s="40"/>
      <c r="AE203" s="3"/>
      <c r="AF203" s="3"/>
      <c r="AG203" s="3"/>
      <c r="AH203" s="3"/>
      <c r="AI203" s="3"/>
      <c r="AJ203" s="3"/>
      <c r="AK203" s="3"/>
      <c r="AL203" s="3"/>
    </row>
    <row r="204" spans="1:38" ht="18" customHeight="1">
      <c r="A204" s="164" t="s">
        <v>47</v>
      </c>
      <c r="B204" s="6" t="s">
        <v>10</v>
      </c>
      <c r="C204" s="17">
        <v>3</v>
      </c>
      <c r="D204" s="19">
        <f>10747.36/3</f>
        <v>3582.4533333333334</v>
      </c>
      <c r="E204" s="47">
        <f>527.25/3</f>
        <v>175.75</v>
      </c>
      <c r="F204" s="11"/>
      <c r="G204" s="11"/>
      <c r="H204" s="17">
        <v>6</v>
      </c>
      <c r="I204" s="19">
        <f>13769.39/6</f>
        <v>2294.898333333333</v>
      </c>
      <c r="J204" s="33">
        <f>675.5/6</f>
        <v>112.58333333333333</v>
      </c>
      <c r="K204" s="12"/>
      <c r="L204" s="9"/>
      <c r="M204" s="45">
        <v>4</v>
      </c>
      <c r="N204" s="19">
        <f>5268.68/4</f>
        <v>1317.17</v>
      </c>
      <c r="O204" s="33">
        <f>222/4</f>
        <v>55.5</v>
      </c>
      <c r="P204" s="87"/>
      <c r="Q204" s="87"/>
      <c r="R204" s="45">
        <v>2</v>
      </c>
      <c r="S204" s="19">
        <f>6648.19/2</f>
        <v>3324.095</v>
      </c>
      <c r="T204" s="33">
        <f>279.41/2</f>
        <v>139.705</v>
      </c>
      <c r="U204" s="87"/>
      <c r="V204" s="87"/>
      <c r="W204" s="45"/>
      <c r="X204" s="19"/>
      <c r="Y204" s="33"/>
      <c r="Z204" s="87"/>
      <c r="AA204" s="87"/>
      <c r="AB204" s="45"/>
      <c r="AC204" s="19"/>
      <c r="AD204" s="33"/>
      <c r="AE204" s="87"/>
      <c r="AF204" s="87"/>
      <c r="AG204" s="74"/>
      <c r="AH204" s="74"/>
      <c r="AI204" s="118"/>
      <c r="AJ204" s="32"/>
      <c r="AK204" s="87"/>
      <c r="AL204" s="87"/>
    </row>
    <row r="205" spans="1:38" ht="18" customHeight="1">
      <c r="A205" s="164"/>
      <c r="B205" s="6" t="s">
        <v>11</v>
      </c>
      <c r="C205" s="17">
        <v>17</v>
      </c>
      <c r="D205" s="19">
        <f>50570/17</f>
        <v>2974.705882352941</v>
      </c>
      <c r="E205" s="47">
        <f>2338/17</f>
        <v>137.52941176470588</v>
      </c>
      <c r="F205" s="11"/>
      <c r="G205" s="11"/>
      <c r="H205" s="17">
        <v>18</v>
      </c>
      <c r="I205" s="19">
        <f>49764.84/18</f>
        <v>2764.713333333333</v>
      </c>
      <c r="J205" s="33">
        <f>2206.75/18</f>
        <v>122.59722222222223</v>
      </c>
      <c r="K205" s="12"/>
      <c r="L205" s="9"/>
      <c r="M205" s="45">
        <v>17</v>
      </c>
      <c r="N205" s="19">
        <f>66652.31/17</f>
        <v>3920.724117647059</v>
      </c>
      <c r="O205" s="33">
        <f>2790.75/17</f>
        <v>164.16176470588235</v>
      </c>
      <c r="P205" s="87"/>
      <c r="Q205" s="87"/>
      <c r="R205" s="45">
        <v>16</v>
      </c>
      <c r="S205" s="19">
        <f>66578.89/16</f>
        <v>4161.180625</v>
      </c>
      <c r="T205" s="33">
        <f>2661.29/16</f>
        <v>166.330625</v>
      </c>
      <c r="U205" s="87"/>
      <c r="V205" s="87"/>
      <c r="W205" s="45">
        <v>19</v>
      </c>
      <c r="X205" s="19">
        <f>66864.25/19</f>
        <v>3519.1710526315787</v>
      </c>
      <c r="Y205" s="33">
        <f>2494.17/19</f>
        <v>131.2721052631579</v>
      </c>
      <c r="Z205" s="87"/>
      <c r="AA205" s="87"/>
      <c r="AB205" s="45">
        <v>26</v>
      </c>
      <c r="AC205" s="19">
        <f>84587.02/AB205</f>
        <v>3253.3469230769233</v>
      </c>
      <c r="AD205" s="33">
        <f>3045.62/AB205</f>
        <v>117.13923076923076</v>
      </c>
      <c r="AE205" s="87"/>
      <c r="AF205" s="87"/>
      <c r="AG205" s="74">
        <v>18</v>
      </c>
      <c r="AH205" s="74"/>
      <c r="AI205" s="118">
        <f>69826.19/AG205</f>
        <v>3879.2327777777778</v>
      </c>
      <c r="AJ205" s="32">
        <f>2172/AG205</f>
        <v>120.66666666666667</v>
      </c>
      <c r="AK205" s="87"/>
      <c r="AL205" s="87"/>
    </row>
    <row r="206" spans="1:38" ht="18" customHeight="1">
      <c r="A206" s="164"/>
      <c r="B206" s="6" t="s">
        <v>12</v>
      </c>
      <c r="C206" s="17">
        <v>1</v>
      </c>
      <c r="D206" s="19">
        <v>4515.05</v>
      </c>
      <c r="E206" s="47">
        <v>221.5</v>
      </c>
      <c r="F206" s="11"/>
      <c r="G206" s="11"/>
      <c r="H206" s="17">
        <v>1</v>
      </c>
      <c r="I206" s="19">
        <v>4071.7</v>
      </c>
      <c r="J206" s="33">
        <v>199.75</v>
      </c>
      <c r="K206" s="13"/>
      <c r="L206" s="9"/>
      <c r="M206" s="45">
        <v>2</v>
      </c>
      <c r="N206" s="19">
        <f>3785.38/2</f>
        <v>1892.69</v>
      </c>
      <c r="O206" s="33">
        <f>159.5/2</f>
        <v>79.75</v>
      </c>
      <c r="P206" s="87"/>
      <c r="Q206" s="87"/>
      <c r="R206" s="45">
        <v>3</v>
      </c>
      <c r="S206" s="19">
        <f>3699.72/3</f>
        <v>1233.24</v>
      </c>
      <c r="T206" s="33">
        <f>153.91/3</f>
        <v>51.303333333333335</v>
      </c>
      <c r="U206" s="87"/>
      <c r="V206" s="87"/>
      <c r="W206" s="45"/>
      <c r="X206" s="19"/>
      <c r="Y206" s="33"/>
      <c r="Z206" s="87"/>
      <c r="AA206" s="87"/>
      <c r="AB206" s="45"/>
      <c r="AC206" s="19"/>
      <c r="AD206" s="33"/>
      <c r="AE206" s="87"/>
      <c r="AF206" s="87"/>
      <c r="AG206" s="74"/>
      <c r="AH206" s="74"/>
      <c r="AI206" s="118"/>
      <c r="AJ206" s="32"/>
      <c r="AK206" s="87"/>
      <c r="AL206" s="87"/>
    </row>
    <row r="207" spans="1:38" ht="18" customHeight="1">
      <c r="A207" s="164"/>
      <c r="B207" s="6" t="s">
        <v>13</v>
      </c>
      <c r="C207" s="17">
        <v>4</v>
      </c>
      <c r="D207" s="19">
        <f>3964.69/4</f>
        <v>991.1725</v>
      </c>
      <c r="E207" s="47">
        <f>194.5/4</f>
        <v>48.625</v>
      </c>
      <c r="F207" s="11"/>
      <c r="G207" s="11"/>
      <c r="H207" s="17">
        <v>2</v>
      </c>
      <c r="I207" s="19">
        <f>2522.52/2</f>
        <v>1261.26</v>
      </c>
      <c r="J207" s="33">
        <f>123.75/2</f>
        <v>61.875</v>
      </c>
      <c r="K207" s="12"/>
      <c r="L207" s="9"/>
      <c r="M207" s="45">
        <v>1</v>
      </c>
      <c r="N207" s="19">
        <v>1264.17</v>
      </c>
      <c r="O207" s="33">
        <v>48</v>
      </c>
      <c r="P207" s="87"/>
      <c r="Q207" s="87"/>
      <c r="R207" s="45">
        <v>0</v>
      </c>
      <c r="S207" s="19"/>
      <c r="T207" s="33"/>
      <c r="U207" s="87"/>
      <c r="V207" s="87"/>
      <c r="W207" s="45"/>
      <c r="X207" s="19"/>
      <c r="Y207" s="33"/>
      <c r="Z207" s="87"/>
      <c r="AA207" s="87"/>
      <c r="AB207" s="45"/>
      <c r="AC207" s="19"/>
      <c r="AD207" s="33"/>
      <c r="AE207" s="87"/>
      <c r="AF207" s="87"/>
      <c r="AG207" s="74"/>
      <c r="AH207" s="74"/>
      <c r="AI207" s="118"/>
      <c r="AJ207" s="32"/>
      <c r="AK207" s="87"/>
      <c r="AL207" s="87"/>
    </row>
    <row r="208" spans="1:38" ht="18" customHeight="1">
      <c r="A208" s="164"/>
      <c r="B208" s="6" t="s">
        <v>14</v>
      </c>
      <c r="C208" s="17">
        <v>3</v>
      </c>
      <c r="D208" s="19">
        <f>5351.35/3</f>
        <v>1783.7833333333335</v>
      </c>
      <c r="E208" s="47">
        <f>187.25/3</f>
        <v>62.416666666666664</v>
      </c>
      <c r="F208" s="11"/>
      <c r="G208" s="11"/>
      <c r="H208" s="17">
        <v>4</v>
      </c>
      <c r="I208" s="19">
        <f>5571.74/4</f>
        <v>1392.935</v>
      </c>
      <c r="J208" s="33">
        <f>272.75/4</f>
        <v>68.1875</v>
      </c>
      <c r="K208" s="12"/>
      <c r="L208" s="9"/>
      <c r="M208" s="45">
        <v>2</v>
      </c>
      <c r="N208" s="19">
        <f>2017.29/2</f>
        <v>1008.645</v>
      </c>
      <c r="O208" s="33">
        <f>85/2</f>
        <v>42.5</v>
      </c>
      <c r="P208" s="87"/>
      <c r="Q208" s="87"/>
      <c r="R208" s="45">
        <v>0</v>
      </c>
      <c r="S208" s="19"/>
      <c r="T208" s="33"/>
      <c r="U208" s="87"/>
      <c r="V208" s="87"/>
      <c r="W208" s="45"/>
      <c r="X208" s="19"/>
      <c r="Y208" s="33"/>
      <c r="Z208" s="87"/>
      <c r="AA208" s="87"/>
      <c r="AB208" s="45">
        <v>1</v>
      </c>
      <c r="AC208" s="19">
        <v>214.16</v>
      </c>
      <c r="AD208" s="33">
        <v>9</v>
      </c>
      <c r="AE208" s="87"/>
      <c r="AF208" s="87"/>
      <c r="AG208" s="74">
        <v>1</v>
      </c>
      <c r="AH208" s="74"/>
      <c r="AI208" s="118">
        <f>2162.16/AG208</f>
        <v>2162.16</v>
      </c>
      <c r="AJ208" s="32">
        <f>90/AG208</f>
        <v>90</v>
      </c>
      <c r="AK208" s="87"/>
      <c r="AL208" s="87"/>
    </row>
    <row r="209" spans="1:38" ht="18" customHeight="1">
      <c r="A209" s="164"/>
      <c r="B209" s="6" t="s">
        <v>15</v>
      </c>
      <c r="C209" s="17">
        <v>5</v>
      </c>
      <c r="D209" s="19">
        <f>9835.2/5</f>
        <v>1967.0400000000002</v>
      </c>
      <c r="E209" s="47">
        <f>482.5/5</f>
        <v>96.5</v>
      </c>
      <c r="F209" s="11"/>
      <c r="G209" s="11"/>
      <c r="H209" s="17">
        <v>3</v>
      </c>
      <c r="I209" s="19">
        <f>5646.37/3</f>
        <v>1882.1233333333332</v>
      </c>
      <c r="J209" s="33">
        <f>277/3</f>
        <v>92.33333333333333</v>
      </c>
      <c r="K209" s="12"/>
      <c r="L209" s="9"/>
      <c r="M209" s="45">
        <v>3</v>
      </c>
      <c r="N209" s="19">
        <f>4616.03/3</f>
        <v>1538.6766666666665</v>
      </c>
      <c r="O209" s="33">
        <f>194.5/3</f>
        <v>64.83333333333333</v>
      </c>
      <c r="P209" s="87"/>
      <c r="Q209" s="87"/>
      <c r="R209" s="45">
        <v>1</v>
      </c>
      <c r="S209" s="19">
        <v>1554.5</v>
      </c>
      <c r="T209" s="33">
        <v>65.5</v>
      </c>
      <c r="U209" s="87"/>
      <c r="V209" s="87"/>
      <c r="W209" s="45"/>
      <c r="X209" s="19"/>
      <c r="Y209" s="33"/>
      <c r="Z209" s="87"/>
      <c r="AA209" s="87"/>
      <c r="AB209" s="45"/>
      <c r="AC209" s="19"/>
      <c r="AD209" s="33"/>
      <c r="AE209" s="87"/>
      <c r="AF209" s="87"/>
      <c r="AG209" s="74"/>
      <c r="AH209" s="74"/>
      <c r="AI209" s="118"/>
      <c r="AJ209" s="32"/>
      <c r="AK209" s="87"/>
      <c r="AL209" s="87"/>
    </row>
    <row r="210" spans="1:38" ht="18" customHeight="1">
      <c r="A210" s="164"/>
      <c r="B210" s="6" t="s">
        <v>16</v>
      </c>
      <c r="C210" s="17">
        <v>9</v>
      </c>
      <c r="D210" s="19">
        <f>12500.86/9</f>
        <v>1388.9844444444445</v>
      </c>
      <c r="E210" s="47">
        <f>564.75/9</f>
        <v>62.75</v>
      </c>
      <c r="F210" s="11"/>
      <c r="G210" s="11"/>
      <c r="H210" s="17">
        <v>4</v>
      </c>
      <c r="I210" s="19">
        <f>7450.35/4</f>
        <v>1862.5875</v>
      </c>
      <c r="J210" s="33">
        <f>349/4</f>
        <v>87.25</v>
      </c>
      <c r="K210" s="12"/>
      <c r="L210" s="9"/>
      <c r="M210" s="45">
        <v>4</v>
      </c>
      <c r="N210" s="19">
        <f>14180.35/4</f>
        <v>3545.0875</v>
      </c>
      <c r="O210" s="33">
        <f>597.5/4</f>
        <v>149.375</v>
      </c>
      <c r="P210" s="87"/>
      <c r="Q210" s="87"/>
      <c r="R210" s="45">
        <v>5</v>
      </c>
      <c r="S210" s="19">
        <f>18023.64/5</f>
        <v>3604.728</v>
      </c>
      <c r="T210" s="33">
        <f>673.82/5</f>
        <v>134.764</v>
      </c>
      <c r="U210" s="87"/>
      <c r="V210" s="87"/>
      <c r="W210" s="45">
        <v>10</v>
      </c>
      <c r="X210" s="19">
        <f>21560.28/10</f>
        <v>2156.028</v>
      </c>
      <c r="Y210" s="33">
        <f>672.16/10</f>
        <v>67.216</v>
      </c>
      <c r="Z210" s="87"/>
      <c r="AA210" s="87"/>
      <c r="AB210" s="45">
        <v>7</v>
      </c>
      <c r="AC210" s="19">
        <f>18680.96/AB210</f>
        <v>2668.7085714285713</v>
      </c>
      <c r="AD210" s="33">
        <f>238.93/AB210</f>
        <v>34.13285714285714</v>
      </c>
      <c r="AE210" s="87"/>
      <c r="AF210" s="87"/>
      <c r="AG210" s="74">
        <v>10</v>
      </c>
      <c r="AH210" s="74"/>
      <c r="AI210" s="118">
        <f>23549.76/AG210</f>
        <v>2354.9759999999997</v>
      </c>
      <c r="AJ210" s="32">
        <f>376/AG210</f>
        <v>37.6</v>
      </c>
      <c r="AK210" s="87"/>
      <c r="AL210" s="87"/>
    </row>
    <row r="211" spans="1:38" ht="18" customHeight="1">
      <c r="A211" s="164"/>
      <c r="B211" s="6" t="s">
        <v>17</v>
      </c>
      <c r="C211" s="17"/>
      <c r="D211" s="19"/>
      <c r="E211" s="47"/>
      <c r="F211" s="11"/>
      <c r="G211" s="11"/>
      <c r="H211" s="17"/>
      <c r="I211" s="19"/>
      <c r="J211" s="33"/>
      <c r="K211" s="12"/>
      <c r="L211" s="9"/>
      <c r="M211" s="45"/>
      <c r="N211" s="19"/>
      <c r="O211" s="33"/>
      <c r="P211" s="87"/>
      <c r="Q211" s="87"/>
      <c r="R211" s="45"/>
      <c r="S211" s="19"/>
      <c r="T211" s="33"/>
      <c r="U211" s="87"/>
      <c r="V211" s="87"/>
      <c r="W211" s="45"/>
      <c r="X211" s="19"/>
      <c r="Y211" s="33"/>
      <c r="Z211" s="87"/>
      <c r="AA211" s="87"/>
      <c r="AB211" s="45"/>
      <c r="AC211" s="19"/>
      <c r="AD211" s="33"/>
      <c r="AE211" s="87"/>
      <c r="AF211" s="87"/>
      <c r="AG211" s="74"/>
      <c r="AH211" s="74"/>
      <c r="AI211" s="118"/>
      <c r="AJ211" s="32"/>
      <c r="AK211" s="87"/>
      <c r="AL211" s="87"/>
    </row>
    <row r="212" spans="1:38" ht="18" customHeight="1">
      <c r="A212" s="164"/>
      <c r="B212" s="6" t="s">
        <v>90</v>
      </c>
      <c r="C212" s="17"/>
      <c r="D212" s="19"/>
      <c r="E212" s="47"/>
      <c r="F212" s="11"/>
      <c r="G212" s="11"/>
      <c r="H212" s="17"/>
      <c r="I212" s="19"/>
      <c r="J212" s="33"/>
      <c r="K212" s="12"/>
      <c r="L212" s="9"/>
      <c r="M212" s="45"/>
      <c r="N212" s="19"/>
      <c r="O212" s="33"/>
      <c r="P212" s="87"/>
      <c r="Q212" s="87"/>
      <c r="R212" s="45"/>
      <c r="S212" s="19"/>
      <c r="T212" s="33"/>
      <c r="U212" s="87"/>
      <c r="V212" s="87"/>
      <c r="W212" s="45">
        <v>10</v>
      </c>
      <c r="X212" s="19">
        <f>11362.95/10</f>
        <v>1136.295</v>
      </c>
      <c r="Y212" s="33">
        <f>376.33/10</f>
        <v>37.632999999999996</v>
      </c>
      <c r="Z212" s="87"/>
      <c r="AA212" s="87"/>
      <c r="AB212" s="45">
        <v>12</v>
      </c>
      <c r="AC212" s="19">
        <f>23368.17/AB212</f>
        <v>1947.3474999999999</v>
      </c>
      <c r="AD212" s="33">
        <f>915.95/AB212</f>
        <v>76.32916666666667</v>
      </c>
      <c r="AE212" s="87"/>
      <c r="AF212" s="87"/>
      <c r="AG212" s="74">
        <v>18</v>
      </c>
      <c r="AH212" s="74"/>
      <c r="AI212" s="118">
        <f>38125.36/AG212</f>
        <v>2118.0755555555556</v>
      </c>
      <c r="AJ212" s="32">
        <f>1026/AG212</f>
        <v>57</v>
      </c>
      <c r="AK212" s="87"/>
      <c r="AL212" s="87"/>
    </row>
    <row r="213" spans="1:38" ht="18" customHeight="1">
      <c r="A213" s="164"/>
      <c r="B213" s="6" t="s">
        <v>18</v>
      </c>
      <c r="C213" s="17">
        <v>7</v>
      </c>
      <c r="D213" s="19">
        <f>34190.71/7</f>
        <v>4884.387142857143</v>
      </c>
      <c r="E213" s="47">
        <f>1206/7</f>
        <v>172.28571428571428</v>
      </c>
      <c r="F213" s="11"/>
      <c r="G213" s="11"/>
      <c r="H213" s="17">
        <v>9</v>
      </c>
      <c r="I213" s="19">
        <f>23709.77/9</f>
        <v>2634.418888888889</v>
      </c>
      <c r="J213" s="33">
        <f>1176.75/9</f>
        <v>130.75</v>
      </c>
      <c r="K213" s="12"/>
      <c r="L213" s="9"/>
      <c r="M213" s="45">
        <v>7</v>
      </c>
      <c r="N213" s="19">
        <f>16340.03/7</f>
        <v>2334.29</v>
      </c>
      <c r="O213" s="33">
        <f>688.5/7</f>
        <v>98.35714285714286</v>
      </c>
      <c r="P213" s="87"/>
      <c r="Q213" s="87"/>
      <c r="R213" s="45">
        <v>11</v>
      </c>
      <c r="S213" s="19">
        <f>23500.93/11</f>
        <v>2136.4481818181816</v>
      </c>
      <c r="T213" s="33">
        <f>972.66/11</f>
        <v>88.42363636363636</v>
      </c>
      <c r="U213" s="87"/>
      <c r="V213" s="87"/>
      <c r="W213" s="45">
        <v>9</v>
      </c>
      <c r="X213" s="19">
        <f>20966.55/9</f>
        <v>2329.616666666667</v>
      </c>
      <c r="Y213" s="33">
        <f>855.91/9</f>
        <v>95.10111111111111</v>
      </c>
      <c r="Z213" s="87"/>
      <c r="AA213" s="87"/>
      <c r="AB213" s="45">
        <v>14</v>
      </c>
      <c r="AC213" s="19">
        <f>34076.35/AB213</f>
        <v>2434.025</v>
      </c>
      <c r="AD213" s="33">
        <f>1387.34/AB213</f>
        <v>99.09571428571428</v>
      </c>
      <c r="AE213" s="87"/>
      <c r="AF213" s="87"/>
      <c r="AG213" s="74">
        <v>14</v>
      </c>
      <c r="AH213" s="74"/>
      <c r="AI213" s="118">
        <f>57232.56/AG213</f>
        <v>4088.04</v>
      </c>
      <c r="AJ213" s="32">
        <f>2131/AG213</f>
        <v>152.21428571428572</v>
      </c>
      <c r="AK213" s="87"/>
      <c r="AL213" s="87"/>
    </row>
    <row r="214" spans="1:38" ht="18" customHeight="1">
      <c r="A214" s="164"/>
      <c r="B214" s="69" t="s">
        <v>19</v>
      </c>
      <c r="C214" s="18">
        <f>SUM(C204:C213)</f>
        <v>49</v>
      </c>
      <c r="D214" s="20">
        <v>2687.26</v>
      </c>
      <c r="E214" s="49">
        <v>117</v>
      </c>
      <c r="F214" s="5"/>
      <c r="G214" s="5"/>
      <c r="H214" s="18">
        <f>SUM(H204:H213)</f>
        <v>47</v>
      </c>
      <c r="I214" s="20">
        <v>2393.76</v>
      </c>
      <c r="J214" s="40">
        <v>112</v>
      </c>
      <c r="K214" s="2"/>
      <c r="L214" s="3"/>
      <c r="M214" s="18">
        <f>SUM(M204:M213)</f>
        <v>40</v>
      </c>
      <c r="N214" s="20">
        <f>114124.24/40</f>
        <v>2853.106</v>
      </c>
      <c r="O214" s="40">
        <f>4785.75/40</f>
        <v>119.64375</v>
      </c>
      <c r="P214" s="3"/>
      <c r="Q214" s="3"/>
      <c r="R214" s="18">
        <f>SUM(R204:R213)</f>
        <v>38</v>
      </c>
      <c r="S214" s="20">
        <f>119975.86/38</f>
        <v>3157.2594736842107</v>
      </c>
      <c r="T214" s="40">
        <f>4806.59/38</f>
        <v>126.48921052631579</v>
      </c>
      <c r="U214" s="3"/>
      <c r="V214" s="3"/>
      <c r="W214" s="18">
        <f>SUM(W204:W213)</f>
        <v>48</v>
      </c>
      <c r="X214" s="20">
        <f>120754.02/48</f>
        <v>2515.7087500000002</v>
      </c>
      <c r="Y214" s="40">
        <f>4398.57/48</f>
        <v>91.63687499999999</v>
      </c>
      <c r="Z214" s="3"/>
      <c r="AA214" s="3"/>
      <c r="AB214" s="18">
        <f>SUM(AB204:AB213)</f>
        <v>60</v>
      </c>
      <c r="AC214" s="20">
        <f>160926.66/AB214</f>
        <v>2682.111</v>
      </c>
      <c r="AD214" s="40">
        <f>5596.84/AB214</f>
        <v>93.28066666666668</v>
      </c>
      <c r="AE214" s="3"/>
      <c r="AF214" s="3"/>
      <c r="AG214" s="140">
        <f>SUM(AG204:AG213)</f>
        <v>61</v>
      </c>
      <c r="AH214" s="140"/>
      <c r="AI214" s="20">
        <f>190896.03/AG214</f>
        <v>3129.443114754098</v>
      </c>
      <c r="AJ214" s="51">
        <f>5794/AG214</f>
        <v>94.98360655737704</v>
      </c>
      <c r="AK214" s="3"/>
      <c r="AL214" s="3"/>
    </row>
    <row r="215" spans="1:38" ht="18" customHeight="1">
      <c r="A215" s="164" t="s">
        <v>48</v>
      </c>
      <c r="B215" s="6" t="s">
        <v>10</v>
      </c>
      <c r="C215" s="17"/>
      <c r="D215" s="19"/>
      <c r="E215" s="50"/>
      <c r="F215" s="11"/>
      <c r="G215" s="11"/>
      <c r="H215" s="17"/>
      <c r="I215" s="19"/>
      <c r="J215" s="21"/>
      <c r="K215" s="12"/>
      <c r="L215" s="9"/>
      <c r="M215" s="45"/>
      <c r="N215" s="87"/>
      <c r="O215" s="87"/>
      <c r="P215" s="87"/>
      <c r="Q215" s="87"/>
      <c r="R215" s="45">
        <v>1</v>
      </c>
      <c r="S215" s="19">
        <v>4221.34</v>
      </c>
      <c r="T215" s="33"/>
      <c r="U215" s="87"/>
      <c r="V215" s="87"/>
      <c r="W215" s="45"/>
      <c r="X215" s="19"/>
      <c r="Y215" s="33"/>
      <c r="Z215" s="87"/>
      <c r="AA215" s="87"/>
      <c r="AB215" s="45"/>
      <c r="AC215" s="19"/>
      <c r="AD215" s="33"/>
      <c r="AE215" s="87"/>
      <c r="AF215" s="87"/>
      <c r="AG215" s="74"/>
      <c r="AH215" s="74"/>
      <c r="AI215" s="118"/>
      <c r="AJ215" s="32"/>
      <c r="AK215" s="87"/>
      <c r="AL215" s="87"/>
    </row>
    <row r="216" spans="1:38" ht="18" customHeight="1">
      <c r="A216" s="164"/>
      <c r="B216" s="6" t="s">
        <v>11</v>
      </c>
      <c r="C216" s="17">
        <v>1</v>
      </c>
      <c r="D216" s="19">
        <v>2471.12</v>
      </c>
      <c r="E216" s="50"/>
      <c r="F216" s="11"/>
      <c r="G216" s="11"/>
      <c r="H216" s="17"/>
      <c r="I216" s="19"/>
      <c r="J216" s="21"/>
      <c r="K216" s="12"/>
      <c r="L216" s="9"/>
      <c r="M216" s="45">
        <v>2</v>
      </c>
      <c r="N216" s="19">
        <f>650/2</f>
        <v>325</v>
      </c>
      <c r="O216" s="87"/>
      <c r="P216" s="87"/>
      <c r="Q216" s="87"/>
      <c r="R216" s="45">
        <v>2</v>
      </c>
      <c r="S216" s="19">
        <f>2800/2</f>
        <v>1400</v>
      </c>
      <c r="T216" s="87"/>
      <c r="U216" s="87"/>
      <c r="V216" s="87"/>
      <c r="W216" s="45">
        <v>3</v>
      </c>
      <c r="X216" s="19">
        <f>5207.64/3</f>
        <v>1735.88</v>
      </c>
      <c r="Y216" s="87"/>
      <c r="Z216" s="122"/>
      <c r="AA216" s="87"/>
      <c r="AB216" s="45">
        <v>7</v>
      </c>
      <c r="AC216" s="19">
        <f>14760.45/AB216</f>
        <v>2108.6357142857146</v>
      </c>
      <c r="AD216" s="87"/>
      <c r="AE216" s="122"/>
      <c r="AF216" s="87"/>
      <c r="AG216" s="74">
        <v>7</v>
      </c>
      <c r="AH216" s="74"/>
      <c r="AI216" s="118">
        <f>18128.88/AG216</f>
        <v>2589.84</v>
      </c>
      <c r="AJ216" s="32"/>
      <c r="AK216" s="87"/>
      <c r="AL216" s="87"/>
    </row>
    <row r="217" spans="1:38" ht="18" customHeight="1">
      <c r="A217" s="164"/>
      <c r="B217" s="6" t="s">
        <v>12</v>
      </c>
      <c r="C217" s="17"/>
      <c r="D217" s="19"/>
      <c r="E217" s="50"/>
      <c r="F217" s="11"/>
      <c r="G217" s="11"/>
      <c r="H217" s="17"/>
      <c r="I217" s="19"/>
      <c r="J217" s="21"/>
      <c r="K217" s="13"/>
      <c r="L217" s="9"/>
      <c r="M217" s="45"/>
      <c r="N217" s="19"/>
      <c r="O217" s="87"/>
      <c r="P217" s="87"/>
      <c r="Q217" s="87"/>
      <c r="R217" s="45"/>
      <c r="S217" s="19"/>
      <c r="T217" s="87"/>
      <c r="U217" s="87"/>
      <c r="V217" s="87"/>
      <c r="W217" s="45"/>
      <c r="X217" s="19"/>
      <c r="Y217" s="87"/>
      <c r="Z217" s="87"/>
      <c r="AA217" s="87"/>
      <c r="AB217" s="45"/>
      <c r="AC217" s="19"/>
      <c r="AD217" s="87"/>
      <c r="AE217" s="87"/>
      <c r="AF217" s="87"/>
      <c r="AG217" s="74"/>
      <c r="AH217" s="74"/>
      <c r="AI217" s="118"/>
      <c r="AJ217" s="32"/>
      <c r="AK217" s="87"/>
      <c r="AL217" s="87"/>
    </row>
    <row r="218" spans="1:38" ht="18" customHeight="1">
      <c r="A218" s="164"/>
      <c r="B218" s="6" t="s">
        <v>13</v>
      </c>
      <c r="C218" s="17"/>
      <c r="D218" s="19"/>
      <c r="E218" s="50"/>
      <c r="F218" s="11"/>
      <c r="G218" s="11"/>
      <c r="H218" s="17"/>
      <c r="I218" s="19"/>
      <c r="J218" s="21"/>
      <c r="K218" s="12"/>
      <c r="L218" s="9"/>
      <c r="M218" s="45"/>
      <c r="N218" s="19"/>
      <c r="O218" s="87"/>
      <c r="P218" s="87"/>
      <c r="Q218" s="87"/>
      <c r="R218" s="45">
        <v>3</v>
      </c>
      <c r="S218" s="19">
        <f>7485.31/3</f>
        <v>2495.1033333333335</v>
      </c>
      <c r="T218" s="87"/>
      <c r="U218" s="87"/>
      <c r="V218" s="87"/>
      <c r="W218" s="45"/>
      <c r="X218" s="19"/>
      <c r="Y218" s="87"/>
      <c r="Z218" s="87"/>
      <c r="AA218" s="87"/>
      <c r="AB218" s="45"/>
      <c r="AC218" s="19"/>
      <c r="AD218" s="87"/>
      <c r="AE218" s="87"/>
      <c r="AF218" s="87"/>
      <c r="AG218" s="74"/>
      <c r="AH218" s="74"/>
      <c r="AI218" s="118"/>
      <c r="AJ218" s="32"/>
      <c r="AK218" s="87"/>
      <c r="AL218" s="87"/>
    </row>
    <row r="219" spans="1:38" ht="18" customHeight="1">
      <c r="A219" s="164"/>
      <c r="B219" s="6" t="s">
        <v>14</v>
      </c>
      <c r="C219" s="17">
        <v>1</v>
      </c>
      <c r="D219" s="19">
        <v>1462.96</v>
      </c>
      <c r="E219" s="50"/>
      <c r="F219" s="11"/>
      <c r="G219" s="11"/>
      <c r="H219" s="17">
        <v>1</v>
      </c>
      <c r="I219" s="19">
        <v>233</v>
      </c>
      <c r="J219" s="21"/>
      <c r="K219" s="12"/>
      <c r="L219" s="9"/>
      <c r="M219" s="45">
        <v>1</v>
      </c>
      <c r="N219" s="19">
        <v>265.03</v>
      </c>
      <c r="O219" s="87"/>
      <c r="P219" s="87"/>
      <c r="Q219" s="87"/>
      <c r="R219" s="45">
        <v>1</v>
      </c>
      <c r="S219" s="19">
        <v>2495.11</v>
      </c>
      <c r="T219" s="87"/>
      <c r="U219" s="87"/>
      <c r="V219" s="87"/>
      <c r="W219" s="45">
        <v>2</v>
      </c>
      <c r="X219" s="19">
        <f>7450.97/2</f>
        <v>3725.485</v>
      </c>
      <c r="Y219" s="87"/>
      <c r="Z219" s="87"/>
      <c r="AA219" s="87"/>
      <c r="AB219" s="45">
        <v>4</v>
      </c>
      <c r="AC219" s="19">
        <f>22087.67/AB219</f>
        <v>5521.9175</v>
      </c>
      <c r="AD219" s="87"/>
      <c r="AE219" s="87"/>
      <c r="AF219" s="87"/>
      <c r="AG219" s="74">
        <v>5</v>
      </c>
      <c r="AH219" s="74"/>
      <c r="AI219" s="118">
        <f>36567.12/AG219</f>
        <v>7313.424000000001</v>
      </c>
      <c r="AJ219" s="32"/>
      <c r="AK219" s="87"/>
      <c r="AL219" s="87"/>
    </row>
    <row r="220" spans="1:38" ht="18" customHeight="1">
      <c r="A220" s="164"/>
      <c r="B220" s="6" t="s">
        <v>15</v>
      </c>
      <c r="C220" s="17"/>
      <c r="D220" s="19"/>
      <c r="E220" s="50"/>
      <c r="F220" s="11"/>
      <c r="G220" s="11"/>
      <c r="H220" s="17"/>
      <c r="I220" s="19"/>
      <c r="J220" s="21"/>
      <c r="K220" s="12"/>
      <c r="L220" s="9"/>
      <c r="M220" s="45"/>
      <c r="N220" s="19"/>
      <c r="O220" s="87"/>
      <c r="P220" s="87"/>
      <c r="Q220" s="87"/>
      <c r="R220" s="45"/>
      <c r="S220" s="19"/>
      <c r="T220" s="87"/>
      <c r="U220" s="87"/>
      <c r="V220" s="87"/>
      <c r="W220" s="45"/>
      <c r="X220" s="19"/>
      <c r="Y220" s="87"/>
      <c r="Z220" s="87"/>
      <c r="AA220" s="87"/>
      <c r="AB220" s="45"/>
      <c r="AC220" s="19"/>
      <c r="AD220" s="87"/>
      <c r="AE220" s="87"/>
      <c r="AF220" s="87"/>
      <c r="AG220" s="74"/>
      <c r="AH220" s="74"/>
      <c r="AI220" s="118"/>
      <c r="AJ220" s="32"/>
      <c r="AK220" s="87"/>
      <c r="AL220" s="87"/>
    </row>
    <row r="221" spans="1:38" ht="18" customHeight="1">
      <c r="A221" s="164"/>
      <c r="B221" s="6" t="s">
        <v>16</v>
      </c>
      <c r="C221" s="17">
        <v>7</v>
      </c>
      <c r="D221" s="19">
        <f>18065.98/7</f>
        <v>2580.8542857142857</v>
      </c>
      <c r="E221" s="50"/>
      <c r="F221" s="11"/>
      <c r="G221" s="11"/>
      <c r="H221" s="17">
        <v>7</v>
      </c>
      <c r="I221" s="19">
        <f>11355.82/7</f>
        <v>1622.26</v>
      </c>
      <c r="J221" s="21"/>
      <c r="K221" s="12"/>
      <c r="L221" s="9"/>
      <c r="M221" s="45">
        <v>5</v>
      </c>
      <c r="N221" s="19">
        <f>13642.64/5</f>
        <v>2728.528</v>
      </c>
      <c r="O221" s="87"/>
      <c r="P221" s="87"/>
      <c r="Q221" s="87"/>
      <c r="R221" s="45">
        <v>4</v>
      </c>
      <c r="S221" s="19">
        <f>24056.73/4</f>
        <v>6014.1825</v>
      </c>
      <c r="T221" s="87"/>
      <c r="U221" s="87"/>
      <c r="V221" s="87"/>
      <c r="W221" s="45">
        <v>4</v>
      </c>
      <c r="X221" s="19">
        <f>36500.9/4</f>
        <v>9125.225</v>
      </c>
      <c r="Y221" s="87"/>
      <c r="Z221" s="87"/>
      <c r="AA221" s="87"/>
      <c r="AB221" s="45">
        <v>4</v>
      </c>
      <c r="AC221" s="19">
        <f>38211.05/AB221</f>
        <v>9552.7625</v>
      </c>
      <c r="AD221" s="87"/>
      <c r="AE221" s="87"/>
      <c r="AF221" s="87"/>
      <c r="AG221" s="74">
        <v>4</v>
      </c>
      <c r="AH221" s="74"/>
      <c r="AI221" s="118">
        <f>29529.13/AG221</f>
        <v>7382.2825</v>
      </c>
      <c r="AJ221" s="32"/>
      <c r="AK221" s="87"/>
      <c r="AL221" s="87"/>
    </row>
    <row r="222" spans="1:38" ht="18" customHeight="1">
      <c r="A222" s="164"/>
      <c r="B222" s="6" t="s">
        <v>17</v>
      </c>
      <c r="C222" s="17"/>
      <c r="D222" s="19"/>
      <c r="E222" s="50"/>
      <c r="F222" s="11"/>
      <c r="G222" s="11"/>
      <c r="H222" s="17"/>
      <c r="I222" s="19"/>
      <c r="J222" s="21"/>
      <c r="K222" s="12"/>
      <c r="L222" s="9"/>
      <c r="M222" s="45"/>
      <c r="N222" s="19"/>
      <c r="O222" s="87"/>
      <c r="P222" s="87"/>
      <c r="Q222" s="87"/>
      <c r="R222" s="45"/>
      <c r="S222" s="19"/>
      <c r="T222" s="87"/>
      <c r="U222" s="87"/>
      <c r="V222" s="87"/>
      <c r="W222" s="45"/>
      <c r="X222" s="19"/>
      <c r="Y222" s="87"/>
      <c r="Z222" s="87"/>
      <c r="AA222" s="87"/>
      <c r="AB222" s="45"/>
      <c r="AC222" s="19"/>
      <c r="AD222" s="87"/>
      <c r="AE222" s="87"/>
      <c r="AF222" s="87"/>
      <c r="AG222" s="74"/>
      <c r="AH222" s="74"/>
      <c r="AI222" s="118"/>
      <c r="AJ222" s="32"/>
      <c r="AK222" s="87"/>
      <c r="AL222" s="87"/>
    </row>
    <row r="223" spans="1:38" ht="18" customHeight="1">
      <c r="A223" s="164"/>
      <c r="B223" s="6" t="s">
        <v>90</v>
      </c>
      <c r="C223" s="17"/>
      <c r="D223" s="19"/>
      <c r="E223" s="50"/>
      <c r="F223" s="11"/>
      <c r="G223" s="11"/>
      <c r="H223" s="17"/>
      <c r="I223" s="19"/>
      <c r="J223" s="21"/>
      <c r="K223" s="12"/>
      <c r="L223" s="9"/>
      <c r="M223" s="45"/>
      <c r="N223" s="19"/>
      <c r="O223" s="87"/>
      <c r="P223" s="87"/>
      <c r="Q223" s="87"/>
      <c r="R223" s="45"/>
      <c r="S223" s="19"/>
      <c r="T223" s="87"/>
      <c r="U223" s="87"/>
      <c r="V223" s="87"/>
      <c r="W223" s="45">
        <v>4</v>
      </c>
      <c r="X223" s="19">
        <f>15053.66/4</f>
        <v>3763.415</v>
      </c>
      <c r="Y223" s="87"/>
      <c r="Z223" s="87"/>
      <c r="AA223" s="87"/>
      <c r="AB223" s="45">
        <v>5</v>
      </c>
      <c r="AC223" s="19">
        <f>24807.93/AB223</f>
        <v>4961.586</v>
      </c>
      <c r="AD223" s="87"/>
      <c r="AE223" s="87"/>
      <c r="AF223" s="87"/>
      <c r="AG223" s="74">
        <v>5</v>
      </c>
      <c r="AH223" s="74"/>
      <c r="AI223" s="118">
        <f>24483.22/AG223</f>
        <v>4896.644</v>
      </c>
      <c r="AJ223" s="32"/>
      <c r="AK223" s="87"/>
      <c r="AL223" s="87"/>
    </row>
    <row r="224" spans="1:38" ht="18" customHeight="1">
      <c r="A224" s="164"/>
      <c r="B224" s="6" t="s">
        <v>18</v>
      </c>
      <c r="C224" s="17">
        <v>7</v>
      </c>
      <c r="D224" s="19">
        <f>14982.24/7</f>
        <v>2140.32</v>
      </c>
      <c r="E224" s="50"/>
      <c r="F224" s="11"/>
      <c r="G224" s="11"/>
      <c r="H224" s="17">
        <v>3</v>
      </c>
      <c r="I224" s="19">
        <f>24735.66/3</f>
        <v>8245.22</v>
      </c>
      <c r="J224" s="21"/>
      <c r="K224" s="12"/>
      <c r="L224" s="9"/>
      <c r="M224" s="45">
        <v>3</v>
      </c>
      <c r="N224" s="19">
        <f>29973.2/3</f>
        <v>9991.066666666668</v>
      </c>
      <c r="O224" s="87"/>
      <c r="P224" s="87"/>
      <c r="Q224" s="87"/>
      <c r="R224" s="45">
        <v>3</v>
      </c>
      <c r="S224" s="19">
        <f>23375.42/3</f>
        <v>7791.806666666666</v>
      </c>
      <c r="T224" s="87"/>
      <c r="U224" s="87"/>
      <c r="V224" s="87"/>
      <c r="W224" s="45">
        <v>2</v>
      </c>
      <c r="X224" s="19">
        <f>21058.18/2</f>
        <v>10529.09</v>
      </c>
      <c r="Y224" s="87"/>
      <c r="Z224" s="87"/>
      <c r="AA224" s="87"/>
      <c r="AB224" s="45">
        <v>2</v>
      </c>
      <c r="AC224" s="19">
        <f>18105.69/AB224</f>
        <v>9052.845</v>
      </c>
      <c r="AD224" s="87"/>
      <c r="AE224" s="87"/>
      <c r="AF224" s="87"/>
      <c r="AG224" s="74">
        <v>1</v>
      </c>
      <c r="AH224" s="74"/>
      <c r="AI224" s="118">
        <f>14860.16/AG224</f>
        <v>14860.16</v>
      </c>
      <c r="AJ224" s="32"/>
      <c r="AK224" s="87"/>
      <c r="AL224" s="87"/>
    </row>
    <row r="225" spans="1:38" ht="18" customHeight="1">
      <c r="A225" s="164"/>
      <c r="B225" s="69" t="s">
        <v>19</v>
      </c>
      <c r="C225" s="18">
        <f>SUM(C215:C224)</f>
        <v>16</v>
      </c>
      <c r="D225" s="20">
        <v>2313.27</v>
      </c>
      <c r="E225" s="49"/>
      <c r="F225" s="5"/>
      <c r="G225" s="5"/>
      <c r="H225" s="18">
        <f>SUM(H215:H224)</f>
        <v>11</v>
      </c>
      <c r="I225" s="20">
        <v>3302.23</v>
      </c>
      <c r="J225" s="40"/>
      <c r="K225" s="2"/>
      <c r="L225" s="3"/>
      <c r="M225" s="18">
        <f>SUM(M215:M224)</f>
        <v>11</v>
      </c>
      <c r="N225" s="20">
        <f>44530.7/11</f>
        <v>4048.2454545454543</v>
      </c>
      <c r="O225" s="40"/>
      <c r="P225" s="3"/>
      <c r="Q225" s="3"/>
      <c r="R225" s="18">
        <f>SUM(R215:R224)</f>
        <v>14</v>
      </c>
      <c r="S225" s="20">
        <f>64433.91/14</f>
        <v>4602.422142857143</v>
      </c>
      <c r="T225" s="40"/>
      <c r="U225" s="3"/>
      <c r="V225" s="3"/>
      <c r="W225" s="18">
        <f>SUM(W215:W224)</f>
        <v>15</v>
      </c>
      <c r="X225" s="20">
        <f>85271.35/15</f>
        <v>5684.756666666667</v>
      </c>
      <c r="Y225" s="40"/>
      <c r="Z225" s="3"/>
      <c r="AA225" s="3"/>
      <c r="AB225" s="18">
        <f>SUM(AB215:AB224)</f>
        <v>22</v>
      </c>
      <c r="AC225" s="20">
        <f>117972.79/AB225</f>
        <v>5362.399545454545</v>
      </c>
      <c r="AD225" s="40"/>
      <c r="AE225" s="3"/>
      <c r="AF225" s="3"/>
      <c r="AG225" s="140">
        <f>SUM(AG215:AG224)</f>
        <v>22</v>
      </c>
      <c r="AH225" s="140"/>
      <c r="AI225" s="20">
        <f>123568.51/AG225</f>
        <v>5616.750454545454</v>
      </c>
      <c r="AJ225" s="3"/>
      <c r="AK225" s="3"/>
      <c r="AL225" s="3"/>
    </row>
    <row r="226" spans="1:38" ht="18" customHeight="1">
      <c r="A226" s="164" t="s">
        <v>49</v>
      </c>
      <c r="B226" s="6" t="s">
        <v>10</v>
      </c>
      <c r="C226" s="17">
        <v>30</v>
      </c>
      <c r="D226" s="19">
        <f>160481.23/30</f>
        <v>5349.374333333334</v>
      </c>
      <c r="E226" s="47">
        <f>7872.31/30</f>
        <v>262.41033333333337</v>
      </c>
      <c r="F226" s="11"/>
      <c r="G226" s="11"/>
      <c r="H226" s="17">
        <v>26</v>
      </c>
      <c r="I226" s="19">
        <f>172565.43/26</f>
        <v>6637.131923076923</v>
      </c>
      <c r="J226" s="33">
        <f>(4562.6+2935.96)/26</f>
        <v>288.40615384615387</v>
      </c>
      <c r="K226" s="12"/>
      <c r="L226" s="9"/>
      <c r="M226" s="45">
        <v>27</v>
      </c>
      <c r="N226" s="19">
        <f>170165.13/27</f>
        <v>6302.412222222222</v>
      </c>
      <c r="O226" s="33">
        <f>7170.04/27</f>
        <v>265.55703703703705</v>
      </c>
      <c r="P226" s="87"/>
      <c r="Q226" s="87"/>
      <c r="R226" s="45">
        <v>24</v>
      </c>
      <c r="S226" s="19">
        <f>163009.45/24</f>
        <v>6792.060416666667</v>
      </c>
      <c r="T226" s="33">
        <f>6868.53/24</f>
        <v>286.18874999999997</v>
      </c>
      <c r="U226" s="87"/>
      <c r="V226" s="87"/>
      <c r="W226" s="45"/>
      <c r="X226" s="19"/>
      <c r="Y226" s="33"/>
      <c r="Z226" s="87"/>
      <c r="AA226" s="87"/>
      <c r="AB226" s="45"/>
      <c r="AC226" s="19"/>
      <c r="AD226" s="33"/>
      <c r="AE226" s="87"/>
      <c r="AF226" s="87"/>
      <c r="AG226" s="74"/>
      <c r="AH226" s="74"/>
      <c r="AI226" s="118"/>
      <c r="AJ226" s="32"/>
      <c r="AK226" s="87"/>
      <c r="AL226" s="87"/>
    </row>
    <row r="227" spans="1:38" ht="18" customHeight="1">
      <c r="A227" s="164"/>
      <c r="B227" s="6" t="s">
        <v>11</v>
      </c>
      <c r="C227" s="17">
        <v>62</v>
      </c>
      <c r="D227" s="19">
        <f>539837.37/62</f>
        <v>8707.05435483871</v>
      </c>
      <c r="E227" s="47">
        <f>25377.2/62</f>
        <v>409.30967741935484</v>
      </c>
      <c r="F227" s="11"/>
      <c r="G227" s="11"/>
      <c r="H227" s="17">
        <v>78</v>
      </c>
      <c r="I227" s="19">
        <f>554043.78/78</f>
        <v>7103.125384615385</v>
      </c>
      <c r="J227" s="33">
        <f>(13838.53+10364.33)/78</f>
        <v>310.2930769230769</v>
      </c>
      <c r="K227" s="12"/>
      <c r="L227" s="9"/>
      <c r="M227" s="45">
        <v>84</v>
      </c>
      <c r="N227" s="19">
        <f>607347.51/84</f>
        <v>7230.3275</v>
      </c>
      <c r="O227" s="33">
        <f>25591.06/84</f>
        <v>304.6554761904762</v>
      </c>
      <c r="P227" s="87"/>
      <c r="Q227" s="87"/>
      <c r="R227" s="45">
        <v>80</v>
      </c>
      <c r="S227" s="19">
        <f>595310.31/80</f>
        <v>7441.378875</v>
      </c>
      <c r="T227" s="33">
        <f>25013/80</f>
        <v>312.6625</v>
      </c>
      <c r="U227" s="87"/>
      <c r="V227" s="87"/>
      <c r="W227" s="45">
        <v>82</v>
      </c>
      <c r="X227" s="19">
        <f>588237.6/82</f>
        <v>7173.629268292682</v>
      </c>
      <c r="Y227" s="33">
        <f>24247.74/82</f>
        <v>295.70414634146346</v>
      </c>
      <c r="Z227" s="87"/>
      <c r="AA227" s="87"/>
      <c r="AB227" s="45">
        <v>81</v>
      </c>
      <c r="AC227" s="19">
        <f>618891.84/AB227</f>
        <v>7640.639999999999</v>
      </c>
      <c r="AD227" s="33">
        <f>25649.66/AB227</f>
        <v>316.66246913580244</v>
      </c>
      <c r="AE227" s="87"/>
      <c r="AF227" s="87"/>
      <c r="AG227" s="74">
        <v>82</v>
      </c>
      <c r="AH227" s="74"/>
      <c r="AI227" s="118">
        <f>618005.49/AG227</f>
        <v>7536.652317073171</v>
      </c>
      <c r="AJ227" s="32">
        <f>24784.03/AG227</f>
        <v>302.24426829268293</v>
      </c>
      <c r="AK227" s="87"/>
      <c r="AL227" s="87"/>
    </row>
    <row r="228" spans="1:38" ht="18" customHeight="1">
      <c r="A228" s="164"/>
      <c r="B228" s="6" t="s">
        <v>12</v>
      </c>
      <c r="C228" s="17">
        <v>12</v>
      </c>
      <c r="D228" s="19">
        <f>61491.4/12</f>
        <v>5124.283333333334</v>
      </c>
      <c r="E228" s="47">
        <f>3016.65/12</f>
        <v>251.38750000000002</v>
      </c>
      <c r="F228" s="11"/>
      <c r="G228" s="11"/>
      <c r="H228" s="17">
        <v>12</v>
      </c>
      <c r="I228" s="19">
        <f>61153.59/12</f>
        <v>5096.1325</v>
      </c>
      <c r="J228" s="33">
        <f>(1563.5+1094.28)/12</f>
        <v>221.48166666666665</v>
      </c>
      <c r="K228" s="13"/>
      <c r="L228" s="9"/>
      <c r="M228" s="45">
        <v>13</v>
      </c>
      <c r="N228" s="19">
        <f>66187.46/13</f>
        <v>5091.343076923077</v>
      </c>
      <c r="O228" s="33">
        <f>2788.86/13</f>
        <v>214.52769230769232</v>
      </c>
      <c r="P228" s="87"/>
      <c r="Q228" s="87"/>
      <c r="R228" s="45">
        <v>11</v>
      </c>
      <c r="S228" s="19">
        <f>69337.04/11</f>
        <v>6303.367272727272</v>
      </c>
      <c r="T228" s="33">
        <f>2921.57/11</f>
        <v>265.59727272727275</v>
      </c>
      <c r="U228" s="87"/>
      <c r="V228" s="87"/>
      <c r="W228" s="45"/>
      <c r="X228" s="19"/>
      <c r="Y228" s="33"/>
      <c r="Z228" s="87"/>
      <c r="AA228" s="87"/>
      <c r="AB228" s="45"/>
      <c r="AC228" s="19"/>
      <c r="AD228" s="33"/>
      <c r="AE228" s="87"/>
      <c r="AF228" s="87"/>
      <c r="AG228" s="74"/>
      <c r="AH228" s="74"/>
      <c r="AI228" s="118"/>
      <c r="AJ228" s="32"/>
      <c r="AK228" s="87"/>
      <c r="AL228" s="87"/>
    </row>
    <row r="229" spans="1:38" ht="18" customHeight="1">
      <c r="A229" s="164"/>
      <c r="B229" s="6" t="s">
        <v>13</v>
      </c>
      <c r="C229" s="17">
        <v>26</v>
      </c>
      <c r="D229" s="19">
        <f>152888.65/26</f>
        <v>5880.332692307692</v>
      </c>
      <c r="E229" s="47">
        <f>7486.83/26</f>
        <v>287.955</v>
      </c>
      <c r="F229" s="11"/>
      <c r="G229" s="11"/>
      <c r="H229" s="17">
        <v>23</v>
      </c>
      <c r="I229" s="19">
        <f>142996.39/23</f>
        <v>6217.234347826087</v>
      </c>
      <c r="J229" s="33">
        <f>(3865.71+2465.08)/23</f>
        <v>275.25173913043477</v>
      </c>
      <c r="K229" s="12"/>
      <c r="L229" s="9"/>
      <c r="M229" s="45">
        <v>25</v>
      </c>
      <c r="N229" s="19">
        <f>145398.52/25</f>
        <v>5815.940799999999</v>
      </c>
      <c r="O229" s="33">
        <f>6126.48/25</f>
        <v>245.05919999999998</v>
      </c>
      <c r="P229" s="87"/>
      <c r="Q229" s="87"/>
      <c r="R229" s="45">
        <v>25</v>
      </c>
      <c r="S229" s="19">
        <f>139829.62/25</f>
        <v>5593.1848</v>
      </c>
      <c r="T229" s="33">
        <f>5891.83/25</f>
        <v>235.6732</v>
      </c>
      <c r="U229" s="87"/>
      <c r="V229" s="87"/>
      <c r="W229" s="45"/>
      <c r="X229" s="19"/>
      <c r="Y229" s="33"/>
      <c r="Z229" s="87"/>
      <c r="AA229" s="87"/>
      <c r="AB229" s="45"/>
      <c r="AC229" s="19"/>
      <c r="AD229" s="33"/>
      <c r="AE229" s="87"/>
      <c r="AF229" s="87"/>
      <c r="AG229" s="74"/>
      <c r="AH229" s="74"/>
      <c r="AI229" s="118"/>
      <c r="AJ229" s="32"/>
      <c r="AK229" s="87"/>
      <c r="AL229" s="87"/>
    </row>
    <row r="230" spans="1:38" ht="18" customHeight="1">
      <c r="A230" s="164"/>
      <c r="B230" s="6" t="s">
        <v>14</v>
      </c>
      <c r="C230" s="17">
        <v>27</v>
      </c>
      <c r="D230" s="19">
        <f>223562.53/27</f>
        <v>8280.093703703704</v>
      </c>
      <c r="E230" s="47">
        <f>10936.66/27</f>
        <v>405.06148148148145</v>
      </c>
      <c r="F230" s="11"/>
      <c r="G230" s="11"/>
      <c r="H230" s="17">
        <v>26</v>
      </c>
      <c r="I230" s="19">
        <f>203104.06/26</f>
        <v>7811.694615384616</v>
      </c>
      <c r="J230" s="33">
        <f>(5364.66+3121.12)/26</f>
        <v>326.3761538461538</v>
      </c>
      <c r="K230" s="12"/>
      <c r="L230" s="9"/>
      <c r="M230" s="45">
        <v>27</v>
      </c>
      <c r="N230" s="19">
        <f>178750.47/27</f>
        <v>6620.387777777778</v>
      </c>
      <c r="O230" s="33">
        <f>7531.79/27</f>
        <v>278.9551851851852</v>
      </c>
      <c r="P230" s="87"/>
      <c r="Q230" s="87"/>
      <c r="R230" s="45">
        <v>24</v>
      </c>
      <c r="S230" s="19">
        <f>171000.28/24</f>
        <v>7125.011666666666</v>
      </c>
      <c r="T230" s="33">
        <f>7205.23/24</f>
        <v>300.21791666666667</v>
      </c>
      <c r="U230" s="87"/>
      <c r="V230" s="87"/>
      <c r="W230" s="45">
        <v>23</v>
      </c>
      <c r="X230" s="19">
        <f>162157.04/23</f>
        <v>7050.306086956522</v>
      </c>
      <c r="Y230" s="33">
        <f>6673.02/23</f>
        <v>290.13130434782613</v>
      </c>
      <c r="Z230" s="87"/>
      <c r="AA230" s="87"/>
      <c r="AB230" s="45">
        <v>22</v>
      </c>
      <c r="AC230" s="19">
        <f>148112.03/AB230</f>
        <v>6732.365</v>
      </c>
      <c r="AD230" s="33">
        <f>6171.69/AB230</f>
        <v>280.5313636363636</v>
      </c>
      <c r="AE230" s="87"/>
      <c r="AF230" s="87"/>
      <c r="AG230" s="74">
        <v>20</v>
      </c>
      <c r="AH230" s="74"/>
      <c r="AI230" s="118">
        <f>155726.74/AG230</f>
        <v>7786.3369999999995</v>
      </c>
      <c r="AJ230" s="32">
        <f>6361.27/AG230</f>
        <v>318.06350000000003</v>
      </c>
      <c r="AK230" s="87"/>
      <c r="AL230" s="87"/>
    </row>
    <row r="231" spans="1:38" ht="18" customHeight="1">
      <c r="A231" s="164"/>
      <c r="B231" s="6" t="s">
        <v>15</v>
      </c>
      <c r="C231" s="17">
        <v>24</v>
      </c>
      <c r="D231" s="19">
        <f>135851.18/24</f>
        <v>5660.465833333333</v>
      </c>
      <c r="E231" s="47">
        <f>6664.6/24</f>
        <v>277.69166666666666</v>
      </c>
      <c r="F231" s="11"/>
      <c r="G231" s="11"/>
      <c r="H231" s="17">
        <v>24</v>
      </c>
      <c r="I231" s="19">
        <f>149740.4/24</f>
        <v>6239.183333333333</v>
      </c>
      <c r="J231" s="33">
        <f>(4043.88+2354.54)/24</f>
        <v>266.60083333333336</v>
      </c>
      <c r="K231" s="12"/>
      <c r="L231" s="9"/>
      <c r="M231" s="45">
        <v>20</v>
      </c>
      <c r="N231" s="19">
        <f>124160.52/20</f>
        <v>6208.026</v>
      </c>
      <c r="O231" s="33">
        <f>5231.6/20</f>
        <v>261.58000000000004</v>
      </c>
      <c r="P231" s="87"/>
      <c r="Q231" s="87"/>
      <c r="R231" s="45">
        <v>20</v>
      </c>
      <c r="S231" s="19">
        <f>126839.24/20</f>
        <v>6341.962</v>
      </c>
      <c r="T231" s="33">
        <f>5344.47/20</f>
        <v>267.2235</v>
      </c>
      <c r="U231" s="87"/>
      <c r="V231" s="87"/>
      <c r="W231" s="45"/>
      <c r="X231" s="19"/>
      <c r="Y231" s="33"/>
      <c r="Z231" s="87"/>
      <c r="AA231" s="87"/>
      <c r="AB231" s="45"/>
      <c r="AC231" s="19"/>
      <c r="AD231" s="33"/>
      <c r="AE231" s="87"/>
      <c r="AF231" s="87"/>
      <c r="AG231" s="74"/>
      <c r="AH231" s="74"/>
      <c r="AI231" s="118"/>
      <c r="AJ231" s="32"/>
      <c r="AK231" s="87"/>
      <c r="AL231" s="87"/>
    </row>
    <row r="232" spans="1:38" ht="18" customHeight="1">
      <c r="A232" s="164"/>
      <c r="B232" s="6" t="s">
        <v>16</v>
      </c>
      <c r="C232" s="17">
        <v>32</v>
      </c>
      <c r="D232" s="19">
        <f>277024.34/32</f>
        <v>8657.010625</v>
      </c>
      <c r="E232" s="47">
        <f>12704.65/32</f>
        <v>397.0203125</v>
      </c>
      <c r="F232" s="11"/>
      <c r="G232" s="11"/>
      <c r="H232" s="17">
        <v>37</v>
      </c>
      <c r="I232" s="19">
        <f>300902.53/37</f>
        <v>8132.500810810811</v>
      </c>
      <c r="J232" s="33">
        <f>(8186.54+4413.39)/37</f>
        <v>340.53864864864863</v>
      </c>
      <c r="K232" s="12"/>
      <c r="L232" s="9"/>
      <c r="M232" s="45">
        <v>33</v>
      </c>
      <c r="N232" s="19">
        <f>266520.29/33</f>
        <v>8076.372424242423</v>
      </c>
      <c r="O232" s="33">
        <f>11230.04/33</f>
        <v>340.30424242424243</v>
      </c>
      <c r="P232" s="87"/>
      <c r="Q232" s="87"/>
      <c r="R232" s="45">
        <v>31</v>
      </c>
      <c r="S232" s="19">
        <f>268114.89/31</f>
        <v>8648.86741935484</v>
      </c>
      <c r="T232" s="33">
        <f>11297.23/31</f>
        <v>364.4267741935484</v>
      </c>
      <c r="U232" s="87"/>
      <c r="V232" s="87"/>
      <c r="W232" s="45">
        <v>31</v>
      </c>
      <c r="X232" s="19">
        <f>246852.67/31</f>
        <v>7962.98935483871</v>
      </c>
      <c r="Y232" s="33">
        <f>10296.55/31</f>
        <v>332.14677419354837</v>
      </c>
      <c r="Z232" s="87"/>
      <c r="AA232" s="87"/>
      <c r="AB232" s="45">
        <v>29</v>
      </c>
      <c r="AC232" s="19">
        <f>219087.95/AB232</f>
        <v>7554.756896551725</v>
      </c>
      <c r="AD232" s="33">
        <f>8333.17/AB232</f>
        <v>287.3506896551724</v>
      </c>
      <c r="AE232" s="87"/>
      <c r="AF232" s="87"/>
      <c r="AG232" s="74">
        <v>32</v>
      </c>
      <c r="AH232" s="74"/>
      <c r="AI232" s="118">
        <f>210834.24/AG232</f>
        <v>6588.57</v>
      </c>
      <c r="AJ232" s="32">
        <f>8571.46/AG232</f>
        <v>267.858125</v>
      </c>
      <c r="AK232" s="87"/>
      <c r="AL232" s="87"/>
    </row>
    <row r="233" spans="1:38" ht="18" customHeight="1">
      <c r="A233" s="164"/>
      <c r="B233" s="6" t="s">
        <v>17</v>
      </c>
      <c r="C233" s="17">
        <v>7</v>
      </c>
      <c r="D233" s="19">
        <f>40942.22/7</f>
        <v>5848.888571428572</v>
      </c>
      <c r="E233" s="47">
        <f>2008.5/7</f>
        <v>286.92857142857144</v>
      </c>
      <c r="F233" s="11"/>
      <c r="G233" s="11"/>
      <c r="H233" s="17">
        <v>6</v>
      </c>
      <c r="I233" s="19">
        <f>37864.9/H233</f>
        <v>6310.816666666667</v>
      </c>
      <c r="J233" s="33">
        <f>(1148.5+541.68)/6</f>
        <v>281.69666666666666</v>
      </c>
      <c r="K233" s="12"/>
      <c r="L233" s="9"/>
      <c r="M233" s="45">
        <v>5</v>
      </c>
      <c r="N233" s="19">
        <f>21625.32/5</f>
        <v>4325.064</v>
      </c>
      <c r="O233" s="33">
        <f>911.2/5</f>
        <v>182.24</v>
      </c>
      <c r="P233" s="87"/>
      <c r="Q233" s="87"/>
      <c r="R233" s="45">
        <v>2</v>
      </c>
      <c r="S233" s="19">
        <f>12222.39/2</f>
        <v>6111.195</v>
      </c>
      <c r="T233" s="33">
        <f>515/2</f>
        <v>257.5</v>
      </c>
      <c r="U233" s="87"/>
      <c r="V233" s="87"/>
      <c r="W233" s="45"/>
      <c r="X233" s="19"/>
      <c r="Y233" s="33"/>
      <c r="Z233" s="87"/>
      <c r="AA233" s="87"/>
      <c r="AB233" s="45"/>
      <c r="AC233" s="19"/>
      <c r="AD233" s="33"/>
      <c r="AE233" s="87"/>
      <c r="AF233" s="87"/>
      <c r="AG233" s="74"/>
      <c r="AH233" s="74"/>
      <c r="AI233" s="118"/>
      <c r="AJ233" s="32"/>
      <c r="AK233" s="87"/>
      <c r="AL233" s="87"/>
    </row>
    <row r="234" spans="1:38" ht="18" customHeight="1">
      <c r="A234" s="164"/>
      <c r="B234" s="6" t="s">
        <v>90</v>
      </c>
      <c r="C234" s="17"/>
      <c r="D234" s="19"/>
      <c r="E234" s="47"/>
      <c r="F234" s="11"/>
      <c r="G234" s="11"/>
      <c r="H234" s="17"/>
      <c r="I234" s="19"/>
      <c r="J234" s="33"/>
      <c r="K234" s="12"/>
      <c r="L234" s="9"/>
      <c r="M234" s="45"/>
      <c r="N234" s="19"/>
      <c r="O234" s="33"/>
      <c r="P234" s="87"/>
      <c r="Q234" s="87"/>
      <c r="R234" s="45"/>
      <c r="S234" s="19"/>
      <c r="T234" s="33"/>
      <c r="U234" s="87"/>
      <c r="V234" s="87"/>
      <c r="W234" s="45">
        <v>80</v>
      </c>
      <c r="X234" s="19">
        <f>496126/80</f>
        <v>6201.575</v>
      </c>
      <c r="Y234" s="33">
        <f>20670.58/80</f>
        <v>258.38225</v>
      </c>
      <c r="Z234" s="87"/>
      <c r="AA234" s="87"/>
      <c r="AB234" s="45">
        <v>83</v>
      </c>
      <c r="AC234" s="19">
        <f>475896.3/AB234</f>
        <v>5733.690361445783</v>
      </c>
      <c r="AD234" s="33">
        <f>19824.45/AB234</f>
        <v>238.8487951807229</v>
      </c>
      <c r="AE234" s="87"/>
      <c r="AF234" s="87"/>
      <c r="AG234" s="74">
        <v>73</v>
      </c>
      <c r="AH234" s="74"/>
      <c r="AI234" s="118">
        <f>483668.26/AG234</f>
        <v>6625.592602739726</v>
      </c>
      <c r="AJ234" s="32">
        <f>19692.38/AG234</f>
        <v>269.7586301369863</v>
      </c>
      <c r="AK234" s="87"/>
      <c r="AL234" s="87"/>
    </row>
    <row r="235" spans="1:38" ht="18" customHeight="1">
      <c r="A235" s="164"/>
      <c r="B235" s="6" t="s">
        <v>18</v>
      </c>
      <c r="C235" s="17">
        <v>42</v>
      </c>
      <c r="D235" s="19">
        <f>345238.32/42</f>
        <v>8219.960000000001</v>
      </c>
      <c r="E235" s="47">
        <f>17418.9/42</f>
        <v>414.7357142857143</v>
      </c>
      <c r="F235" s="11"/>
      <c r="G235" s="11"/>
      <c r="H235" s="17">
        <v>49</v>
      </c>
      <c r="I235" s="19">
        <f>354375.41/49</f>
        <v>7232.151224489796</v>
      </c>
      <c r="J235" s="33">
        <f>(8740.37+6792.23)/49</f>
        <v>316.9918367346939</v>
      </c>
      <c r="K235" s="12"/>
      <c r="L235" s="9"/>
      <c r="M235" s="45">
        <v>54</v>
      </c>
      <c r="N235" s="19">
        <f>396241.51/54</f>
        <v>7337.8057407407405</v>
      </c>
      <c r="O235" s="33">
        <f>16727.18/54</f>
        <v>309.7625925925926</v>
      </c>
      <c r="P235" s="87"/>
      <c r="Q235" s="87"/>
      <c r="R235" s="45">
        <v>51</v>
      </c>
      <c r="S235" s="19">
        <f>359538.21/51</f>
        <v>7049.768823529412</v>
      </c>
      <c r="T235" s="33">
        <f>15081.56/51</f>
        <v>295.716862745098</v>
      </c>
      <c r="U235" s="87"/>
      <c r="V235" s="87"/>
      <c r="W235" s="45">
        <v>48</v>
      </c>
      <c r="X235" s="19">
        <f>357222.85/48</f>
        <v>7442.142708333333</v>
      </c>
      <c r="Y235" s="33">
        <f>14780.16/48</f>
        <v>307.92</v>
      </c>
      <c r="Z235" s="87"/>
      <c r="AA235" s="87"/>
      <c r="AB235" s="45">
        <v>47</v>
      </c>
      <c r="AC235" s="19">
        <f>380641.68/AB235</f>
        <v>8098.75914893617</v>
      </c>
      <c r="AD235" s="33">
        <f>15778.72/AB235</f>
        <v>335.7174468085106</v>
      </c>
      <c r="AE235" s="87"/>
      <c r="AF235" s="87"/>
      <c r="AG235" s="74">
        <v>45</v>
      </c>
      <c r="AH235" s="74"/>
      <c r="AI235" s="118">
        <f>386610.68/AG235</f>
        <v>8591.348444444444</v>
      </c>
      <c r="AJ235" s="32">
        <f>15835.13/AG235</f>
        <v>351.89177777777775</v>
      </c>
      <c r="AK235" s="87"/>
      <c r="AL235" s="87"/>
    </row>
    <row r="236" spans="1:38" ht="18" customHeight="1">
      <c r="A236" s="164"/>
      <c r="B236" s="69" t="s">
        <v>19</v>
      </c>
      <c r="C236" s="18">
        <f>SUM(C226:C235)</f>
        <v>262</v>
      </c>
      <c r="D236" s="20">
        <v>7394.34</v>
      </c>
      <c r="E236" s="49">
        <v>357</v>
      </c>
      <c r="F236" s="5"/>
      <c r="G236" s="5"/>
      <c r="H236" s="18">
        <f>SUM(H226:H235)</f>
        <v>281</v>
      </c>
      <c r="I236" s="20">
        <v>7034.39</v>
      </c>
      <c r="J236" s="40">
        <v>303.9</v>
      </c>
      <c r="K236" s="2"/>
      <c r="L236" s="3"/>
      <c r="M236" s="18">
        <f>SUM(M226:M235)</f>
        <v>288</v>
      </c>
      <c r="N236" s="20">
        <f>1976396.73/288</f>
        <v>6862.488645833333</v>
      </c>
      <c r="O236" s="40">
        <f>83308.25/288</f>
        <v>289.26475694444446</v>
      </c>
      <c r="P236" s="3"/>
      <c r="Q236" s="3"/>
      <c r="R236" s="18">
        <f>SUM(R226:R235)</f>
        <v>268</v>
      </c>
      <c r="S236" s="20">
        <f>1905201.44/268</f>
        <v>7108.960597014925</v>
      </c>
      <c r="T236" s="40">
        <f>80138.42/268</f>
        <v>299.0239552238806</v>
      </c>
      <c r="U236" s="3"/>
      <c r="V236" s="3"/>
      <c r="W236" s="18">
        <f>SUM(W226:W235)</f>
        <v>264</v>
      </c>
      <c r="X236" s="20">
        <f>1850596.16/264</f>
        <v>7009.833939393939</v>
      </c>
      <c r="Y236" s="40">
        <f>76668.05/264</f>
        <v>290.4092803030303</v>
      </c>
      <c r="Z236" s="3"/>
      <c r="AA236" s="3"/>
      <c r="AB236" s="18">
        <f>SUM(AB226:AB235)</f>
        <v>262</v>
      </c>
      <c r="AC236" s="20">
        <f>1842629.79/AB236</f>
        <v>7032.938129770992</v>
      </c>
      <c r="AD236" s="40">
        <f>75757.69/AB236</f>
        <v>289.1514885496183</v>
      </c>
      <c r="AE236" s="3"/>
      <c r="AF236" s="3"/>
      <c r="AG236" s="140">
        <f>SUM(AG226:AG235)</f>
        <v>252</v>
      </c>
      <c r="AH236" s="140"/>
      <c r="AI236" s="20">
        <f>1854845.41/AG236</f>
        <v>7360.497658730158</v>
      </c>
      <c r="AJ236" s="51">
        <f>75244.27/AG236</f>
        <v>298.58837301587306</v>
      </c>
      <c r="AK236" s="3"/>
      <c r="AL236" s="3"/>
    </row>
    <row r="237" spans="1:38" ht="18" customHeight="1">
      <c r="A237" s="164" t="s">
        <v>50</v>
      </c>
      <c r="B237" s="6" t="s">
        <v>10</v>
      </c>
      <c r="C237" s="17"/>
      <c r="D237" s="17"/>
      <c r="E237" s="50"/>
      <c r="F237" s="11"/>
      <c r="G237" s="11"/>
      <c r="H237" s="17">
        <v>1</v>
      </c>
      <c r="I237" s="17"/>
      <c r="J237" s="21"/>
      <c r="K237" s="12"/>
      <c r="L237" s="9"/>
      <c r="M237" s="45">
        <v>3</v>
      </c>
      <c r="N237" s="87"/>
      <c r="O237" s="87"/>
      <c r="P237" s="87"/>
      <c r="Q237" s="87"/>
      <c r="R237" s="45">
        <v>6</v>
      </c>
      <c r="S237" s="87"/>
      <c r="T237" s="87"/>
      <c r="U237" s="87"/>
      <c r="V237" s="87"/>
      <c r="W237" s="45"/>
      <c r="X237" s="87"/>
      <c r="Y237" s="87"/>
      <c r="Z237" s="87"/>
      <c r="AA237" s="87"/>
      <c r="AB237" s="45"/>
      <c r="AC237" s="87"/>
      <c r="AD237" s="87"/>
      <c r="AE237" s="87"/>
      <c r="AF237" s="87"/>
      <c r="AG237" s="87"/>
      <c r="AH237" s="87"/>
      <c r="AI237" s="87"/>
      <c r="AJ237" s="87"/>
      <c r="AK237" s="87"/>
      <c r="AL237" s="87"/>
    </row>
    <row r="238" spans="1:38" ht="18" customHeight="1">
      <c r="A238" s="164"/>
      <c r="B238" s="6" t="s">
        <v>11</v>
      </c>
      <c r="C238" s="17">
        <v>15</v>
      </c>
      <c r="D238" s="17"/>
      <c r="E238" s="50"/>
      <c r="F238" s="11"/>
      <c r="G238" s="11"/>
      <c r="H238" s="17">
        <v>11</v>
      </c>
      <c r="I238" s="17"/>
      <c r="J238" s="21"/>
      <c r="K238" s="12"/>
      <c r="L238" s="9"/>
      <c r="M238" s="45">
        <v>16</v>
      </c>
      <c r="N238" s="87"/>
      <c r="O238" s="87"/>
      <c r="P238" s="87"/>
      <c r="Q238" s="87"/>
      <c r="R238" s="45">
        <v>13</v>
      </c>
      <c r="S238" s="87"/>
      <c r="T238" s="87"/>
      <c r="U238" s="87"/>
      <c r="V238" s="87"/>
      <c r="W238" s="45">
        <v>19</v>
      </c>
      <c r="X238" s="87"/>
      <c r="Y238" s="87"/>
      <c r="Z238" s="87"/>
      <c r="AA238" s="87"/>
      <c r="AB238" s="45">
        <v>22</v>
      </c>
      <c r="AC238" s="87"/>
      <c r="AD238" s="87"/>
      <c r="AE238" s="87"/>
      <c r="AF238" s="87"/>
      <c r="AG238" s="45">
        <v>37</v>
      </c>
      <c r="AH238" s="45"/>
      <c r="AI238" s="87"/>
      <c r="AJ238" s="87"/>
      <c r="AK238" s="87"/>
      <c r="AL238" s="87"/>
    </row>
    <row r="239" spans="1:38" ht="18" customHeight="1">
      <c r="A239" s="164"/>
      <c r="B239" s="6" t="s">
        <v>12</v>
      </c>
      <c r="C239" s="17">
        <v>1</v>
      </c>
      <c r="D239" s="17"/>
      <c r="E239" s="50"/>
      <c r="F239" s="11"/>
      <c r="G239" s="11"/>
      <c r="H239" s="17"/>
      <c r="I239" s="17"/>
      <c r="J239" s="21"/>
      <c r="K239" s="13"/>
      <c r="L239" s="9"/>
      <c r="M239" s="45">
        <v>1</v>
      </c>
      <c r="N239" s="87"/>
      <c r="O239" s="87"/>
      <c r="P239" s="87"/>
      <c r="Q239" s="87"/>
      <c r="R239" s="45">
        <v>0</v>
      </c>
      <c r="S239" s="87"/>
      <c r="T239" s="87"/>
      <c r="U239" s="87"/>
      <c r="V239" s="87"/>
      <c r="W239" s="45"/>
      <c r="X239" s="87"/>
      <c r="Y239" s="87"/>
      <c r="Z239" s="87"/>
      <c r="AA239" s="87"/>
      <c r="AB239" s="45"/>
      <c r="AC239" s="87"/>
      <c r="AD239" s="87"/>
      <c r="AE239" s="87"/>
      <c r="AF239" s="87"/>
      <c r="AG239" s="45"/>
      <c r="AH239" s="45"/>
      <c r="AI239" s="87"/>
      <c r="AJ239" s="87"/>
      <c r="AK239" s="87"/>
      <c r="AL239" s="87"/>
    </row>
    <row r="240" spans="1:38" ht="18" customHeight="1">
      <c r="A240" s="164"/>
      <c r="B240" s="6" t="s">
        <v>13</v>
      </c>
      <c r="C240" s="17">
        <v>3</v>
      </c>
      <c r="D240" s="17"/>
      <c r="E240" s="50"/>
      <c r="F240" s="11"/>
      <c r="G240" s="11"/>
      <c r="H240" s="17">
        <v>2</v>
      </c>
      <c r="I240" s="17"/>
      <c r="J240" s="21"/>
      <c r="K240" s="12"/>
      <c r="L240" s="9"/>
      <c r="M240" s="45">
        <v>2</v>
      </c>
      <c r="N240" s="87"/>
      <c r="O240" s="87"/>
      <c r="P240" s="87"/>
      <c r="Q240" s="87"/>
      <c r="R240" s="45">
        <v>0</v>
      </c>
      <c r="S240" s="87"/>
      <c r="T240" s="87"/>
      <c r="U240" s="87"/>
      <c r="V240" s="87"/>
      <c r="W240" s="45"/>
      <c r="X240" s="87"/>
      <c r="Y240" s="87"/>
      <c r="Z240" s="87"/>
      <c r="AA240" s="87"/>
      <c r="AB240" s="45"/>
      <c r="AC240" s="87"/>
      <c r="AD240" s="87"/>
      <c r="AE240" s="87"/>
      <c r="AF240" s="87"/>
      <c r="AG240" s="45"/>
      <c r="AH240" s="45"/>
      <c r="AI240" s="87"/>
      <c r="AJ240" s="87"/>
      <c r="AK240" s="87"/>
      <c r="AL240" s="87"/>
    </row>
    <row r="241" spans="1:38" ht="18" customHeight="1">
      <c r="A241" s="164"/>
      <c r="B241" s="6" t="s">
        <v>14</v>
      </c>
      <c r="C241" s="17">
        <v>3</v>
      </c>
      <c r="D241" s="17"/>
      <c r="E241" s="50"/>
      <c r="F241" s="11"/>
      <c r="G241" s="11"/>
      <c r="H241" s="17">
        <v>5</v>
      </c>
      <c r="I241" s="17"/>
      <c r="J241" s="21"/>
      <c r="K241" s="12"/>
      <c r="L241" s="9"/>
      <c r="M241" s="45">
        <v>2</v>
      </c>
      <c r="N241" s="87"/>
      <c r="O241" s="87"/>
      <c r="P241" s="87"/>
      <c r="Q241" s="87"/>
      <c r="R241" s="45">
        <v>1</v>
      </c>
      <c r="S241" s="87"/>
      <c r="T241" s="87"/>
      <c r="U241" s="87"/>
      <c r="V241" s="87"/>
      <c r="W241" s="45">
        <v>6</v>
      </c>
      <c r="X241" s="87"/>
      <c r="Y241" s="87"/>
      <c r="Z241" s="87"/>
      <c r="AA241" s="87"/>
      <c r="AB241" s="45"/>
      <c r="AC241" s="87"/>
      <c r="AD241" s="87"/>
      <c r="AE241" s="87"/>
      <c r="AF241" s="87"/>
      <c r="AG241" s="45">
        <v>4</v>
      </c>
      <c r="AH241" s="45"/>
      <c r="AI241" s="87"/>
      <c r="AJ241" s="87"/>
      <c r="AK241" s="87"/>
      <c r="AL241" s="87"/>
    </row>
    <row r="242" spans="1:38" ht="18" customHeight="1">
      <c r="A242" s="164"/>
      <c r="B242" s="6" t="s">
        <v>15</v>
      </c>
      <c r="C242" s="17"/>
      <c r="D242" s="17"/>
      <c r="E242" s="50"/>
      <c r="F242" s="11"/>
      <c r="G242" s="11"/>
      <c r="H242" s="17"/>
      <c r="I242" s="17"/>
      <c r="J242" s="21"/>
      <c r="K242" s="12"/>
      <c r="L242" s="9"/>
      <c r="M242" s="45"/>
      <c r="N242" s="87"/>
      <c r="O242" s="87"/>
      <c r="P242" s="87"/>
      <c r="Q242" s="87"/>
      <c r="R242" s="45">
        <v>5</v>
      </c>
      <c r="S242" s="87"/>
      <c r="T242" s="87"/>
      <c r="U242" s="87"/>
      <c r="V242" s="87"/>
      <c r="W242" s="45"/>
      <c r="X242" s="87"/>
      <c r="Y242" s="87"/>
      <c r="Z242" s="87"/>
      <c r="AA242" s="87"/>
      <c r="AB242" s="45"/>
      <c r="AC242" s="87"/>
      <c r="AD242" s="87"/>
      <c r="AE242" s="87"/>
      <c r="AF242" s="87"/>
      <c r="AG242" s="45"/>
      <c r="AH242" s="45"/>
      <c r="AI242" s="87"/>
      <c r="AJ242" s="87"/>
      <c r="AK242" s="87"/>
      <c r="AL242" s="87"/>
    </row>
    <row r="243" spans="1:38" ht="18" customHeight="1">
      <c r="A243" s="164"/>
      <c r="B243" s="6" t="s">
        <v>16</v>
      </c>
      <c r="C243" s="17"/>
      <c r="D243" s="17"/>
      <c r="E243" s="50"/>
      <c r="F243" s="11"/>
      <c r="G243" s="11"/>
      <c r="H243" s="17">
        <v>1</v>
      </c>
      <c r="I243" s="17"/>
      <c r="J243" s="21"/>
      <c r="K243" s="12"/>
      <c r="L243" s="9"/>
      <c r="M243" s="45"/>
      <c r="N243" s="87"/>
      <c r="O243" s="87"/>
      <c r="P243" s="87"/>
      <c r="Q243" s="87"/>
      <c r="R243" s="45">
        <v>10</v>
      </c>
      <c r="S243" s="87"/>
      <c r="T243" s="87"/>
      <c r="U243" s="87"/>
      <c r="V243" s="87"/>
      <c r="W243" s="45">
        <v>6</v>
      </c>
      <c r="X243" s="87"/>
      <c r="Y243" s="87"/>
      <c r="Z243" s="87"/>
      <c r="AA243" s="87"/>
      <c r="AB243" s="45">
        <v>5</v>
      </c>
      <c r="AC243" s="87"/>
      <c r="AD243" s="87"/>
      <c r="AE243" s="87"/>
      <c r="AF243" s="87"/>
      <c r="AG243" s="45">
        <v>4</v>
      </c>
      <c r="AH243" s="45"/>
      <c r="AI243" s="87"/>
      <c r="AJ243" s="87"/>
      <c r="AK243" s="87"/>
      <c r="AL243" s="87"/>
    </row>
    <row r="244" spans="1:38" ht="18" customHeight="1">
      <c r="A244" s="164"/>
      <c r="B244" s="6" t="s">
        <v>17</v>
      </c>
      <c r="C244" s="17"/>
      <c r="D244" s="17"/>
      <c r="E244" s="50"/>
      <c r="F244" s="11"/>
      <c r="G244" s="11"/>
      <c r="H244" s="17"/>
      <c r="I244" s="17"/>
      <c r="J244" s="21"/>
      <c r="K244" s="12"/>
      <c r="L244" s="9"/>
      <c r="M244" s="45"/>
      <c r="N244" s="87"/>
      <c r="O244" s="87"/>
      <c r="P244" s="87"/>
      <c r="Q244" s="87"/>
      <c r="R244" s="45">
        <v>3</v>
      </c>
      <c r="S244" s="87"/>
      <c r="T244" s="87"/>
      <c r="U244" s="87"/>
      <c r="V244" s="87"/>
      <c r="W244" s="45"/>
      <c r="X244" s="87"/>
      <c r="Y244" s="87"/>
      <c r="Z244" s="87"/>
      <c r="AA244" s="87"/>
      <c r="AB244" s="45"/>
      <c r="AC244" s="87"/>
      <c r="AD244" s="87"/>
      <c r="AE244" s="87"/>
      <c r="AF244" s="87"/>
      <c r="AG244" s="45"/>
      <c r="AH244" s="45"/>
      <c r="AI244" s="87"/>
      <c r="AJ244" s="87"/>
      <c r="AK244" s="87"/>
      <c r="AL244" s="87"/>
    </row>
    <row r="245" spans="1:38" ht="18" customHeight="1">
      <c r="A245" s="164"/>
      <c r="B245" s="6" t="s">
        <v>90</v>
      </c>
      <c r="C245" s="17"/>
      <c r="D245" s="17"/>
      <c r="E245" s="50"/>
      <c r="F245" s="11"/>
      <c r="G245" s="11"/>
      <c r="H245" s="17"/>
      <c r="I245" s="17"/>
      <c r="J245" s="21"/>
      <c r="K245" s="12"/>
      <c r="L245" s="9"/>
      <c r="M245" s="45"/>
      <c r="N245" s="87"/>
      <c r="O245" s="87"/>
      <c r="P245" s="87"/>
      <c r="Q245" s="87"/>
      <c r="R245" s="45"/>
      <c r="S245" s="87"/>
      <c r="T245" s="87"/>
      <c r="U245" s="87"/>
      <c r="V245" s="87"/>
      <c r="W245" s="45">
        <v>35</v>
      </c>
      <c r="X245" s="87"/>
      <c r="Y245" s="87"/>
      <c r="Z245" s="87"/>
      <c r="AA245" s="87"/>
      <c r="AB245" s="45">
        <v>14</v>
      </c>
      <c r="AC245" s="87"/>
      <c r="AD245" s="87"/>
      <c r="AE245" s="87"/>
      <c r="AF245" s="87"/>
      <c r="AG245" s="45">
        <v>15</v>
      </c>
      <c r="AH245" s="45"/>
      <c r="AI245" s="87"/>
      <c r="AJ245" s="87"/>
      <c r="AK245" s="87"/>
      <c r="AL245" s="87"/>
    </row>
    <row r="246" spans="1:38" ht="18" customHeight="1">
      <c r="A246" s="164"/>
      <c r="B246" s="6" t="s">
        <v>18</v>
      </c>
      <c r="C246" s="17">
        <v>3</v>
      </c>
      <c r="D246" s="17"/>
      <c r="E246" s="50"/>
      <c r="F246" s="11"/>
      <c r="G246" s="11"/>
      <c r="H246" s="17">
        <v>4</v>
      </c>
      <c r="I246" s="17"/>
      <c r="J246" s="21"/>
      <c r="K246" s="12"/>
      <c r="L246" s="9"/>
      <c r="M246" s="45">
        <v>11</v>
      </c>
      <c r="N246" s="87"/>
      <c r="O246" s="87"/>
      <c r="P246" s="87"/>
      <c r="Q246" s="87"/>
      <c r="R246" s="45">
        <v>6</v>
      </c>
      <c r="S246" s="87"/>
      <c r="T246" s="87"/>
      <c r="U246" s="87"/>
      <c r="V246" s="87"/>
      <c r="W246" s="45">
        <v>4</v>
      </c>
      <c r="X246" s="87"/>
      <c r="Y246" s="87"/>
      <c r="Z246" s="87"/>
      <c r="AA246" s="87"/>
      <c r="AB246" s="45">
        <v>5</v>
      </c>
      <c r="AC246" s="87"/>
      <c r="AD246" s="87"/>
      <c r="AE246" s="87"/>
      <c r="AF246" s="87"/>
      <c r="AG246" s="45">
        <v>10</v>
      </c>
      <c r="AH246" s="45"/>
      <c r="AI246" s="87"/>
      <c r="AJ246" s="87"/>
      <c r="AK246" s="87"/>
      <c r="AL246" s="87"/>
    </row>
    <row r="247" spans="1:38" ht="18" customHeight="1">
      <c r="A247" s="164"/>
      <c r="B247" s="6" t="s">
        <v>66</v>
      </c>
      <c r="C247" s="17"/>
      <c r="D247" s="17"/>
      <c r="E247" s="50"/>
      <c r="F247" s="11"/>
      <c r="G247" s="11"/>
      <c r="H247" s="17"/>
      <c r="I247" s="17"/>
      <c r="J247" s="21"/>
      <c r="K247" s="12"/>
      <c r="L247" s="9"/>
      <c r="M247" s="45">
        <v>6</v>
      </c>
      <c r="N247" s="87"/>
      <c r="O247" s="87"/>
      <c r="P247" s="87"/>
      <c r="Q247" s="87"/>
      <c r="R247" s="45"/>
      <c r="S247" s="87"/>
      <c r="T247" s="87"/>
      <c r="U247" s="87"/>
      <c r="V247" s="87"/>
      <c r="W247" s="45"/>
      <c r="X247" s="87"/>
      <c r="Y247" s="87"/>
      <c r="Z247" s="87"/>
      <c r="AA247" s="87"/>
      <c r="AB247" s="45"/>
      <c r="AC247" s="87"/>
      <c r="AD247" s="87"/>
      <c r="AE247" s="87"/>
      <c r="AF247" s="87"/>
      <c r="AG247" s="45"/>
      <c r="AH247" s="45"/>
      <c r="AI247" s="87"/>
      <c r="AJ247" s="87"/>
      <c r="AK247" s="87"/>
      <c r="AL247" s="87"/>
    </row>
    <row r="248" spans="1:38" ht="18" customHeight="1">
      <c r="A248" s="164"/>
      <c r="B248" s="69" t="s">
        <v>19</v>
      </c>
      <c r="C248" s="18">
        <f>SUM(C237:C246)</f>
        <v>25</v>
      </c>
      <c r="D248" s="20"/>
      <c r="E248" s="49"/>
      <c r="F248" s="5"/>
      <c r="G248" s="5"/>
      <c r="H248" s="18">
        <f>SUM(H237:H246)</f>
        <v>24</v>
      </c>
      <c r="I248" s="20"/>
      <c r="J248" s="40"/>
      <c r="K248" s="2"/>
      <c r="L248" s="3"/>
      <c r="M248" s="18">
        <f>SUM(M237:M247)</f>
        <v>41</v>
      </c>
      <c r="N248" s="3"/>
      <c r="O248" s="3"/>
      <c r="P248" s="3"/>
      <c r="Q248" s="3"/>
      <c r="R248" s="18">
        <f>SUM(R237:R247)</f>
        <v>44</v>
      </c>
      <c r="S248" s="3"/>
      <c r="T248" s="3"/>
      <c r="U248" s="3"/>
      <c r="V248" s="3"/>
      <c r="W248" s="18">
        <f>SUM(W237:W247)</f>
        <v>70</v>
      </c>
      <c r="X248" s="3"/>
      <c r="Y248" s="3"/>
      <c r="Z248" s="3"/>
      <c r="AA248" s="3"/>
      <c r="AB248" s="18">
        <f>SUM(AB237:AB247)</f>
        <v>46</v>
      </c>
      <c r="AC248" s="3"/>
      <c r="AD248" s="3"/>
      <c r="AE248" s="3"/>
      <c r="AF248" s="3"/>
      <c r="AG248" s="18">
        <f>SUM(AG237:AG247)</f>
        <v>70</v>
      </c>
      <c r="AH248" s="18"/>
      <c r="AI248" s="3"/>
      <c r="AJ248" s="3"/>
      <c r="AK248" s="3"/>
      <c r="AL248" s="3"/>
    </row>
    <row r="249" spans="1:38" ht="18" customHeight="1">
      <c r="A249" s="164" t="s">
        <v>86</v>
      </c>
      <c r="B249" s="6" t="s">
        <v>10</v>
      </c>
      <c r="C249" s="17">
        <v>30</v>
      </c>
      <c r="D249" s="17"/>
      <c r="E249" s="50"/>
      <c r="F249" s="11"/>
      <c r="G249" s="11"/>
      <c r="H249" s="17">
        <v>34</v>
      </c>
      <c r="I249" s="17"/>
      <c r="J249" s="21"/>
      <c r="K249" s="12"/>
      <c r="L249" s="9"/>
      <c r="M249" s="45">
        <v>35</v>
      </c>
      <c r="N249" s="87"/>
      <c r="O249" s="87"/>
      <c r="P249" s="87"/>
      <c r="Q249" s="87"/>
      <c r="R249" s="45">
        <v>20</v>
      </c>
      <c r="S249" s="87"/>
      <c r="T249" s="87"/>
      <c r="U249" s="87"/>
      <c r="V249" s="87"/>
      <c r="W249" s="45"/>
      <c r="X249" s="87"/>
      <c r="Y249" s="87"/>
      <c r="Z249" s="87"/>
      <c r="AA249" s="87"/>
      <c r="AB249" s="45"/>
      <c r="AC249" s="87"/>
      <c r="AD249" s="87"/>
      <c r="AE249" s="87"/>
      <c r="AF249" s="87"/>
      <c r="AG249" s="87"/>
      <c r="AH249" s="87"/>
      <c r="AI249" s="87"/>
      <c r="AJ249" s="87"/>
      <c r="AK249" s="87"/>
      <c r="AL249" s="87"/>
    </row>
    <row r="250" spans="1:38" ht="18" customHeight="1">
      <c r="A250" s="164"/>
      <c r="B250" s="6" t="s">
        <v>11</v>
      </c>
      <c r="C250" s="17">
        <v>94</v>
      </c>
      <c r="D250" s="17"/>
      <c r="E250" s="50"/>
      <c r="F250" s="11"/>
      <c r="G250" s="11"/>
      <c r="H250" s="17">
        <v>66</v>
      </c>
      <c r="I250" s="17"/>
      <c r="J250" s="21"/>
      <c r="K250" s="12"/>
      <c r="L250" s="9"/>
      <c r="M250" s="45">
        <v>82</v>
      </c>
      <c r="N250" s="87"/>
      <c r="O250" s="87"/>
      <c r="P250" s="87"/>
      <c r="Q250" s="87"/>
      <c r="R250" s="45">
        <v>85</v>
      </c>
      <c r="S250" s="87"/>
      <c r="T250" s="87"/>
      <c r="U250" s="87"/>
      <c r="V250" s="87"/>
      <c r="W250" s="45">
        <v>91</v>
      </c>
      <c r="X250" s="87"/>
      <c r="Y250" s="87"/>
      <c r="Z250" s="87"/>
      <c r="AA250" s="87"/>
      <c r="AB250" s="45">
        <v>87</v>
      </c>
      <c r="AC250" s="87"/>
      <c r="AD250" s="87"/>
      <c r="AE250" s="87"/>
      <c r="AF250" s="87"/>
      <c r="AG250" s="45">
        <v>73</v>
      </c>
      <c r="AH250" s="45"/>
      <c r="AI250" s="87"/>
      <c r="AJ250" s="87"/>
      <c r="AK250" s="87"/>
      <c r="AL250" s="87"/>
    </row>
    <row r="251" spans="1:38" ht="18" customHeight="1">
      <c r="A251" s="164"/>
      <c r="B251" s="6" t="s">
        <v>12</v>
      </c>
      <c r="C251" s="17">
        <v>10</v>
      </c>
      <c r="D251" s="17"/>
      <c r="E251" s="50"/>
      <c r="F251" s="11"/>
      <c r="G251" s="11"/>
      <c r="H251" s="17">
        <v>19</v>
      </c>
      <c r="I251" s="17"/>
      <c r="J251" s="21"/>
      <c r="K251" s="13"/>
      <c r="L251" s="9"/>
      <c r="M251" s="45">
        <v>19</v>
      </c>
      <c r="N251" s="87"/>
      <c r="O251" s="87"/>
      <c r="P251" s="87"/>
      <c r="Q251" s="87"/>
      <c r="R251" s="45">
        <v>17</v>
      </c>
      <c r="S251" s="87"/>
      <c r="T251" s="87"/>
      <c r="U251" s="87"/>
      <c r="V251" s="87"/>
      <c r="W251" s="45"/>
      <c r="X251" s="87"/>
      <c r="Y251" s="87"/>
      <c r="Z251" s="87"/>
      <c r="AA251" s="87"/>
      <c r="AB251" s="45"/>
      <c r="AC251" s="87"/>
      <c r="AD251" s="87"/>
      <c r="AE251" s="87"/>
      <c r="AF251" s="87"/>
      <c r="AG251" s="45"/>
      <c r="AH251" s="45"/>
      <c r="AI251" s="87"/>
      <c r="AJ251" s="87"/>
      <c r="AK251" s="87"/>
      <c r="AL251" s="87"/>
    </row>
    <row r="252" spans="1:38" ht="18" customHeight="1">
      <c r="A252" s="164"/>
      <c r="B252" s="6" t="s">
        <v>13</v>
      </c>
      <c r="C252" s="17">
        <v>28</v>
      </c>
      <c r="D252" s="17"/>
      <c r="E252" s="50"/>
      <c r="F252" s="11"/>
      <c r="G252" s="11"/>
      <c r="H252" s="17">
        <v>29</v>
      </c>
      <c r="I252" s="17"/>
      <c r="J252" s="21"/>
      <c r="K252" s="12"/>
      <c r="L252" s="9"/>
      <c r="M252" s="45">
        <v>28</v>
      </c>
      <c r="N252" s="87"/>
      <c r="O252" s="87"/>
      <c r="P252" s="87"/>
      <c r="Q252" s="87"/>
      <c r="R252" s="45">
        <v>12</v>
      </c>
      <c r="S252" s="87"/>
      <c r="T252" s="87"/>
      <c r="U252" s="87"/>
      <c r="V252" s="87"/>
      <c r="W252" s="45"/>
      <c r="X252" s="87"/>
      <c r="Y252" s="87"/>
      <c r="Z252" s="87"/>
      <c r="AA252" s="87"/>
      <c r="AB252" s="45"/>
      <c r="AC252" s="87"/>
      <c r="AD252" s="87"/>
      <c r="AE252" s="87"/>
      <c r="AF252" s="87"/>
      <c r="AG252" s="45"/>
      <c r="AH252" s="45"/>
      <c r="AI252" s="87"/>
      <c r="AJ252" s="87"/>
      <c r="AK252" s="87"/>
      <c r="AL252" s="87"/>
    </row>
    <row r="253" spans="1:38" ht="18" customHeight="1">
      <c r="A253" s="164"/>
      <c r="B253" s="6" t="s">
        <v>14</v>
      </c>
      <c r="C253" s="17">
        <v>9</v>
      </c>
      <c r="D253" s="17"/>
      <c r="E253" s="50"/>
      <c r="F253" s="11"/>
      <c r="G253" s="11"/>
      <c r="H253" s="17">
        <v>11</v>
      </c>
      <c r="I253" s="17"/>
      <c r="J253" s="21"/>
      <c r="K253" s="12"/>
      <c r="L253" s="9"/>
      <c r="M253" s="45">
        <v>13</v>
      </c>
      <c r="N253" s="87"/>
      <c r="O253" s="87"/>
      <c r="P253" s="87"/>
      <c r="Q253" s="87"/>
      <c r="R253" s="45">
        <v>28</v>
      </c>
      <c r="S253" s="87"/>
      <c r="T253" s="87"/>
      <c r="U253" s="87"/>
      <c r="V253" s="87"/>
      <c r="W253" s="45">
        <v>35</v>
      </c>
      <c r="X253" s="87"/>
      <c r="Y253" s="87"/>
      <c r="Z253" s="87"/>
      <c r="AA253" s="87"/>
      <c r="AB253" s="45">
        <v>28</v>
      </c>
      <c r="AC253" s="87"/>
      <c r="AD253" s="87"/>
      <c r="AE253" s="87"/>
      <c r="AF253" s="87"/>
      <c r="AG253" s="45">
        <v>27</v>
      </c>
      <c r="AH253" s="45"/>
      <c r="AI253" s="87"/>
      <c r="AJ253" s="87"/>
      <c r="AK253" s="87"/>
      <c r="AL253" s="87"/>
    </row>
    <row r="254" spans="1:38" ht="18" customHeight="1">
      <c r="A254" s="164"/>
      <c r="B254" s="6" t="s">
        <v>15</v>
      </c>
      <c r="C254" s="17">
        <v>12</v>
      </c>
      <c r="D254" s="17"/>
      <c r="E254" s="50"/>
      <c r="F254" s="11"/>
      <c r="G254" s="11"/>
      <c r="H254" s="17">
        <v>7</v>
      </c>
      <c r="I254" s="17"/>
      <c r="J254" s="21"/>
      <c r="K254" s="12"/>
      <c r="L254" s="9"/>
      <c r="M254" s="45">
        <v>8</v>
      </c>
      <c r="N254" s="87"/>
      <c r="O254" s="87"/>
      <c r="P254" s="87"/>
      <c r="Q254" s="87"/>
      <c r="R254" s="45">
        <v>7</v>
      </c>
      <c r="S254" s="87"/>
      <c r="T254" s="87"/>
      <c r="U254" s="87"/>
      <c r="V254" s="87"/>
      <c r="W254" s="45"/>
      <c r="X254" s="87"/>
      <c r="Y254" s="87"/>
      <c r="Z254" s="87"/>
      <c r="AA254" s="87"/>
      <c r="AB254" s="45"/>
      <c r="AC254" s="87"/>
      <c r="AD254" s="87"/>
      <c r="AE254" s="87"/>
      <c r="AF254" s="87"/>
      <c r="AG254" s="45"/>
      <c r="AH254" s="45"/>
      <c r="AI254" s="87"/>
      <c r="AJ254" s="87"/>
      <c r="AK254" s="87"/>
      <c r="AL254" s="87"/>
    </row>
    <row r="255" spans="1:38" ht="18" customHeight="1">
      <c r="A255" s="164"/>
      <c r="B255" s="6" t="s">
        <v>16</v>
      </c>
      <c r="C255" s="17">
        <v>25</v>
      </c>
      <c r="D255" s="17"/>
      <c r="E255" s="50"/>
      <c r="F255" s="11"/>
      <c r="G255" s="11"/>
      <c r="H255" s="17">
        <v>24</v>
      </c>
      <c r="I255" s="17"/>
      <c r="J255" s="21"/>
      <c r="K255" s="12"/>
      <c r="L255" s="9"/>
      <c r="M255" s="45">
        <v>26</v>
      </c>
      <c r="N255" s="87"/>
      <c r="O255" s="87"/>
      <c r="P255" s="87"/>
      <c r="Q255" s="87"/>
      <c r="R255" s="45">
        <v>17</v>
      </c>
      <c r="S255" s="87"/>
      <c r="T255" s="87"/>
      <c r="U255" s="87"/>
      <c r="V255" s="87"/>
      <c r="W255" s="45">
        <v>23</v>
      </c>
      <c r="X255" s="87"/>
      <c r="Y255" s="87"/>
      <c r="Z255" s="87"/>
      <c r="AA255" s="87"/>
      <c r="AB255" s="45">
        <v>25</v>
      </c>
      <c r="AC255" s="87"/>
      <c r="AD255" s="87"/>
      <c r="AE255" s="87"/>
      <c r="AF255" s="87"/>
      <c r="AG255" s="45">
        <v>27</v>
      </c>
      <c r="AH255" s="45"/>
      <c r="AI255" s="87"/>
      <c r="AJ255" s="87"/>
      <c r="AK255" s="87"/>
      <c r="AL255" s="87"/>
    </row>
    <row r="256" spans="1:38" ht="18" customHeight="1">
      <c r="A256" s="164"/>
      <c r="B256" s="6" t="s">
        <v>17</v>
      </c>
      <c r="C256" s="17">
        <v>10</v>
      </c>
      <c r="D256" s="17"/>
      <c r="E256" s="50"/>
      <c r="F256" s="11"/>
      <c r="G256" s="11"/>
      <c r="H256" s="17">
        <v>9</v>
      </c>
      <c r="I256" s="17"/>
      <c r="J256" s="21"/>
      <c r="K256" s="12"/>
      <c r="L256" s="9"/>
      <c r="M256" s="45">
        <v>8</v>
      </c>
      <c r="N256" s="87"/>
      <c r="O256" s="87"/>
      <c r="P256" s="87"/>
      <c r="Q256" s="87"/>
      <c r="R256" s="45">
        <v>6</v>
      </c>
      <c r="S256" s="87"/>
      <c r="T256" s="87"/>
      <c r="U256" s="87"/>
      <c r="V256" s="87"/>
      <c r="W256" s="45"/>
      <c r="X256" s="87"/>
      <c r="Y256" s="87"/>
      <c r="Z256" s="87"/>
      <c r="AA256" s="87"/>
      <c r="AB256" s="45"/>
      <c r="AC256" s="87"/>
      <c r="AD256" s="87"/>
      <c r="AE256" s="87"/>
      <c r="AF256" s="87"/>
      <c r="AG256" s="45"/>
      <c r="AH256" s="45"/>
      <c r="AI256" s="87"/>
      <c r="AJ256" s="87"/>
      <c r="AK256" s="87"/>
      <c r="AL256" s="87"/>
    </row>
    <row r="257" spans="1:38" ht="18" customHeight="1">
      <c r="A257" s="164"/>
      <c r="B257" s="6" t="s">
        <v>90</v>
      </c>
      <c r="C257" s="17"/>
      <c r="D257" s="17"/>
      <c r="E257" s="50"/>
      <c r="F257" s="11"/>
      <c r="G257" s="11"/>
      <c r="H257" s="17"/>
      <c r="I257" s="17"/>
      <c r="J257" s="21"/>
      <c r="K257" s="12"/>
      <c r="L257" s="9"/>
      <c r="M257" s="45"/>
      <c r="N257" s="87"/>
      <c r="O257" s="87"/>
      <c r="P257" s="87"/>
      <c r="Q257" s="87"/>
      <c r="R257" s="45"/>
      <c r="S257" s="87"/>
      <c r="T257" s="87"/>
      <c r="U257" s="87"/>
      <c r="V257" s="87"/>
      <c r="W257" s="45">
        <v>93</v>
      </c>
      <c r="X257" s="87"/>
      <c r="Y257" s="87"/>
      <c r="Z257" s="87"/>
      <c r="AA257" s="87"/>
      <c r="AB257" s="45">
        <v>93</v>
      </c>
      <c r="AC257" s="87"/>
      <c r="AD257" s="87"/>
      <c r="AE257" s="87"/>
      <c r="AF257" s="87"/>
      <c r="AG257" s="45">
        <v>93</v>
      </c>
      <c r="AH257" s="45"/>
      <c r="AI257" s="87"/>
      <c r="AJ257" s="87"/>
      <c r="AK257" s="87"/>
      <c r="AL257" s="87"/>
    </row>
    <row r="258" spans="1:38" ht="18" customHeight="1">
      <c r="A258" s="164"/>
      <c r="B258" s="6" t="s">
        <v>18</v>
      </c>
      <c r="C258" s="17">
        <v>36</v>
      </c>
      <c r="D258" s="17"/>
      <c r="E258" s="50"/>
      <c r="F258" s="11"/>
      <c r="G258" s="11"/>
      <c r="H258" s="17">
        <v>39</v>
      </c>
      <c r="I258" s="17"/>
      <c r="J258" s="21"/>
      <c r="K258" s="12"/>
      <c r="L258" s="9"/>
      <c r="M258" s="45">
        <v>35</v>
      </c>
      <c r="N258" s="87"/>
      <c r="O258" s="87"/>
      <c r="P258" s="87"/>
      <c r="Q258" s="87"/>
      <c r="R258" s="45">
        <v>30</v>
      </c>
      <c r="S258" s="87"/>
      <c r="T258" s="87"/>
      <c r="U258" s="87"/>
      <c r="V258" s="87"/>
      <c r="W258" s="45">
        <v>32</v>
      </c>
      <c r="X258" s="87"/>
      <c r="Y258" s="87"/>
      <c r="Z258" s="87"/>
      <c r="AA258" s="87"/>
      <c r="AB258" s="45">
        <v>39</v>
      </c>
      <c r="AC258" s="87"/>
      <c r="AD258" s="87"/>
      <c r="AE258" s="87"/>
      <c r="AF258" s="87"/>
      <c r="AG258" s="45">
        <v>39</v>
      </c>
      <c r="AH258" s="45"/>
      <c r="AI258" s="87"/>
      <c r="AJ258" s="87"/>
      <c r="AK258" s="87"/>
      <c r="AL258" s="87"/>
    </row>
    <row r="259" spans="1:38" ht="18" customHeight="1">
      <c r="A259" s="164"/>
      <c r="B259" s="69" t="s">
        <v>19</v>
      </c>
      <c r="C259" s="18">
        <f>SUM(C249:C258)</f>
        <v>254</v>
      </c>
      <c r="D259" s="20"/>
      <c r="E259" s="49"/>
      <c r="F259" s="5"/>
      <c r="G259" s="5"/>
      <c r="H259" s="18">
        <f>SUM(H249:H258)</f>
        <v>238</v>
      </c>
      <c r="I259" s="20"/>
      <c r="J259" s="40"/>
      <c r="K259" s="2"/>
      <c r="L259" s="3"/>
      <c r="M259" s="18">
        <f>SUM(M249:M258)</f>
        <v>254</v>
      </c>
      <c r="N259" s="3"/>
      <c r="O259" s="3"/>
      <c r="P259" s="3"/>
      <c r="Q259" s="3"/>
      <c r="R259" s="18">
        <f>SUM(R249:R258)</f>
        <v>222</v>
      </c>
      <c r="S259" s="3"/>
      <c r="T259" s="3"/>
      <c r="U259" s="3"/>
      <c r="V259" s="3"/>
      <c r="W259" s="18">
        <f>SUM(W249:W258)</f>
        <v>274</v>
      </c>
      <c r="X259" s="3"/>
      <c r="Y259" s="3"/>
      <c r="Z259" s="3"/>
      <c r="AA259" s="3"/>
      <c r="AB259" s="18">
        <f>SUM(AB249:AB258)</f>
        <v>272</v>
      </c>
      <c r="AC259" s="3"/>
      <c r="AD259" s="3"/>
      <c r="AE259" s="3"/>
      <c r="AF259" s="3"/>
      <c r="AG259" s="18">
        <v>259</v>
      </c>
      <c r="AH259" s="18"/>
      <c r="AI259" s="3"/>
      <c r="AJ259" s="3"/>
      <c r="AK259" s="3"/>
      <c r="AL259" s="3"/>
    </row>
    <row r="260" spans="1:38" ht="18" customHeight="1">
      <c r="A260" s="164" t="s">
        <v>87</v>
      </c>
      <c r="B260" s="6" t="s">
        <v>10</v>
      </c>
      <c r="C260" s="17"/>
      <c r="D260" s="19"/>
      <c r="E260" s="50"/>
      <c r="F260" s="11"/>
      <c r="G260" s="11"/>
      <c r="H260" s="17"/>
      <c r="I260" s="19"/>
      <c r="J260" s="21"/>
      <c r="K260" s="12"/>
      <c r="L260" s="9"/>
      <c r="M260" s="45"/>
      <c r="N260" s="19"/>
      <c r="O260" s="87"/>
      <c r="P260" s="87"/>
      <c r="Q260" s="87"/>
      <c r="R260" s="45">
        <v>0</v>
      </c>
      <c r="S260" s="19"/>
      <c r="T260" s="87"/>
      <c r="U260" s="87"/>
      <c r="V260" s="87"/>
      <c r="W260" s="45"/>
      <c r="X260" s="19"/>
      <c r="Y260" s="87"/>
      <c r="Z260" s="87"/>
      <c r="AA260" s="87"/>
      <c r="AB260" s="45"/>
      <c r="AC260" s="19"/>
      <c r="AD260" s="87"/>
      <c r="AE260" s="87"/>
      <c r="AF260" s="87"/>
      <c r="AG260" s="87"/>
      <c r="AH260" s="87"/>
      <c r="AI260" s="87"/>
      <c r="AJ260" s="87"/>
      <c r="AK260" s="87"/>
      <c r="AL260" s="87"/>
    </row>
    <row r="261" spans="1:38" ht="18" customHeight="1">
      <c r="A261" s="164"/>
      <c r="B261" s="6" t="s">
        <v>11</v>
      </c>
      <c r="C261" s="17"/>
      <c r="D261" s="19"/>
      <c r="E261" s="50"/>
      <c r="F261" s="11"/>
      <c r="G261" s="11"/>
      <c r="H261" s="17"/>
      <c r="I261" s="19"/>
      <c r="J261" s="21"/>
      <c r="K261" s="12"/>
      <c r="L261" s="9"/>
      <c r="M261" s="45"/>
      <c r="N261" s="19"/>
      <c r="O261" s="87"/>
      <c r="P261" s="87"/>
      <c r="Q261" s="87"/>
      <c r="R261" s="45">
        <v>36</v>
      </c>
      <c r="S261" s="19">
        <f>63642/36</f>
        <v>1767.8333333333333</v>
      </c>
      <c r="T261" s="87"/>
      <c r="U261" s="87"/>
      <c r="V261" s="87"/>
      <c r="W261" s="45">
        <v>49</v>
      </c>
      <c r="X261" s="19">
        <f>101410.6/49</f>
        <v>2069.604081632653</v>
      </c>
      <c r="Y261" s="87"/>
      <c r="Z261" s="87"/>
      <c r="AA261" s="87"/>
      <c r="AB261" s="45"/>
      <c r="AC261" s="19"/>
      <c r="AD261" s="87"/>
      <c r="AE261" s="87"/>
      <c r="AF261" s="87"/>
      <c r="AG261" s="87"/>
      <c r="AH261" s="87"/>
      <c r="AI261" s="87"/>
      <c r="AJ261" s="87"/>
      <c r="AK261" s="87"/>
      <c r="AL261" s="87"/>
    </row>
    <row r="262" spans="1:38" ht="18" customHeight="1">
      <c r="A262" s="164"/>
      <c r="B262" s="6" t="s">
        <v>12</v>
      </c>
      <c r="C262" s="17"/>
      <c r="D262" s="19"/>
      <c r="E262" s="50"/>
      <c r="F262" s="11"/>
      <c r="G262" s="11"/>
      <c r="H262" s="17"/>
      <c r="I262" s="19"/>
      <c r="J262" s="21"/>
      <c r="K262" s="13"/>
      <c r="L262" s="9"/>
      <c r="M262" s="45"/>
      <c r="N262" s="19"/>
      <c r="O262" s="87"/>
      <c r="P262" s="87"/>
      <c r="Q262" s="87"/>
      <c r="R262" s="45">
        <v>0</v>
      </c>
      <c r="S262" s="19"/>
      <c r="T262" s="87"/>
      <c r="U262" s="87"/>
      <c r="V262" s="87"/>
      <c r="W262" s="45"/>
      <c r="X262" s="19"/>
      <c r="Y262" s="87"/>
      <c r="Z262" s="87"/>
      <c r="AA262" s="87"/>
      <c r="AB262" s="45"/>
      <c r="AC262" s="19"/>
      <c r="AD262" s="87"/>
      <c r="AE262" s="87"/>
      <c r="AF262" s="87"/>
      <c r="AG262" s="87"/>
      <c r="AH262" s="87"/>
      <c r="AI262" s="87"/>
      <c r="AJ262" s="87"/>
      <c r="AK262" s="87"/>
      <c r="AL262" s="87"/>
    </row>
    <row r="263" spans="1:38" ht="18" customHeight="1">
      <c r="A263" s="164"/>
      <c r="B263" s="6" t="s">
        <v>13</v>
      </c>
      <c r="C263" s="17"/>
      <c r="D263" s="19"/>
      <c r="E263" s="50"/>
      <c r="F263" s="11"/>
      <c r="G263" s="11"/>
      <c r="H263" s="17"/>
      <c r="I263" s="19"/>
      <c r="J263" s="21"/>
      <c r="K263" s="12"/>
      <c r="L263" s="9"/>
      <c r="M263" s="45"/>
      <c r="N263" s="19"/>
      <c r="O263" s="87"/>
      <c r="P263" s="87"/>
      <c r="Q263" s="87"/>
      <c r="R263" s="45">
        <v>0</v>
      </c>
      <c r="S263" s="19"/>
      <c r="T263" s="87"/>
      <c r="U263" s="87"/>
      <c r="V263" s="87"/>
      <c r="W263" s="45"/>
      <c r="X263" s="19"/>
      <c r="Y263" s="87"/>
      <c r="Z263" s="87"/>
      <c r="AA263" s="87"/>
      <c r="AB263" s="45"/>
      <c r="AC263" s="19"/>
      <c r="AD263" s="87"/>
      <c r="AE263" s="87"/>
      <c r="AF263" s="87"/>
      <c r="AG263" s="87"/>
      <c r="AH263" s="87"/>
      <c r="AI263" s="87"/>
      <c r="AJ263" s="87"/>
      <c r="AK263" s="87"/>
      <c r="AL263" s="87"/>
    </row>
    <row r="264" spans="1:38" ht="18" customHeight="1">
      <c r="A264" s="164"/>
      <c r="B264" s="6" t="s">
        <v>14</v>
      </c>
      <c r="C264" s="17"/>
      <c r="D264" s="19"/>
      <c r="E264" s="50"/>
      <c r="F264" s="11"/>
      <c r="G264" s="11"/>
      <c r="H264" s="17"/>
      <c r="I264" s="19"/>
      <c r="J264" s="21"/>
      <c r="K264" s="12"/>
      <c r="L264" s="9"/>
      <c r="M264" s="45"/>
      <c r="N264" s="19"/>
      <c r="O264" s="87"/>
      <c r="P264" s="87"/>
      <c r="Q264" s="87"/>
      <c r="R264" s="45">
        <v>4</v>
      </c>
      <c r="S264" s="19">
        <f>4026/4</f>
        <v>1006.5</v>
      </c>
      <c r="T264" s="87"/>
      <c r="U264" s="87"/>
      <c r="V264" s="87"/>
      <c r="W264" s="45">
        <v>5</v>
      </c>
      <c r="X264" s="19">
        <f>8504.2/5</f>
        <v>1700.8400000000001</v>
      </c>
      <c r="Y264" s="87"/>
      <c r="Z264" s="87"/>
      <c r="AA264" s="87"/>
      <c r="AB264" s="45"/>
      <c r="AC264" s="19"/>
      <c r="AD264" s="87"/>
      <c r="AE264" s="87"/>
      <c r="AF264" s="87"/>
      <c r="AG264" s="87"/>
      <c r="AH264" s="87"/>
      <c r="AI264" s="87"/>
      <c r="AJ264" s="87"/>
      <c r="AK264" s="87"/>
      <c r="AL264" s="87"/>
    </row>
    <row r="265" spans="1:38" ht="18" customHeight="1">
      <c r="A265" s="164"/>
      <c r="B265" s="6" t="s">
        <v>15</v>
      </c>
      <c r="C265" s="17"/>
      <c r="D265" s="19"/>
      <c r="E265" s="50"/>
      <c r="F265" s="11"/>
      <c r="G265" s="11"/>
      <c r="H265" s="17"/>
      <c r="I265" s="19"/>
      <c r="J265" s="21"/>
      <c r="K265" s="12"/>
      <c r="L265" s="9"/>
      <c r="M265" s="45"/>
      <c r="N265" s="19"/>
      <c r="O265" s="87"/>
      <c r="P265" s="87"/>
      <c r="Q265" s="87"/>
      <c r="R265" s="45">
        <v>0</v>
      </c>
      <c r="S265" s="19"/>
      <c r="T265" s="87"/>
      <c r="U265" s="87"/>
      <c r="V265" s="87"/>
      <c r="W265" s="45"/>
      <c r="X265" s="19"/>
      <c r="Y265" s="87"/>
      <c r="Z265" s="87"/>
      <c r="AA265" s="87"/>
      <c r="AB265" s="45"/>
      <c r="AC265" s="19"/>
      <c r="AD265" s="87"/>
      <c r="AE265" s="87"/>
      <c r="AF265" s="87"/>
      <c r="AG265" s="87"/>
      <c r="AH265" s="87"/>
      <c r="AI265" s="87"/>
      <c r="AJ265" s="87"/>
      <c r="AK265" s="87"/>
      <c r="AL265" s="87"/>
    </row>
    <row r="266" spans="1:38" ht="18" customHeight="1">
      <c r="A266" s="164"/>
      <c r="B266" s="6" t="s">
        <v>16</v>
      </c>
      <c r="C266" s="17"/>
      <c r="D266" s="19"/>
      <c r="E266" s="50"/>
      <c r="F266" s="11"/>
      <c r="G266" s="11"/>
      <c r="H266" s="17"/>
      <c r="I266" s="19"/>
      <c r="J266" s="21"/>
      <c r="K266" s="12"/>
      <c r="L266" s="9"/>
      <c r="M266" s="45"/>
      <c r="N266" s="19"/>
      <c r="O266" s="87"/>
      <c r="P266" s="87"/>
      <c r="Q266" s="87"/>
      <c r="R266" s="45">
        <v>0</v>
      </c>
      <c r="S266" s="19"/>
      <c r="T266" s="87"/>
      <c r="U266" s="87"/>
      <c r="V266" s="87"/>
      <c r="W266" s="45"/>
      <c r="X266" s="19"/>
      <c r="Y266" s="87"/>
      <c r="Z266" s="87"/>
      <c r="AA266" s="87"/>
      <c r="AB266" s="45"/>
      <c r="AC266" s="19"/>
      <c r="AD266" s="87"/>
      <c r="AE266" s="87"/>
      <c r="AF266" s="87"/>
      <c r="AG266" s="87"/>
      <c r="AH266" s="87"/>
      <c r="AI266" s="87"/>
      <c r="AJ266" s="87"/>
      <c r="AK266" s="87"/>
      <c r="AL266" s="87"/>
    </row>
    <row r="267" spans="1:38" ht="18" customHeight="1">
      <c r="A267" s="164"/>
      <c r="B267" s="6" t="s">
        <v>17</v>
      </c>
      <c r="C267" s="17"/>
      <c r="D267" s="19"/>
      <c r="E267" s="50"/>
      <c r="F267" s="11"/>
      <c r="G267" s="11"/>
      <c r="H267" s="17"/>
      <c r="I267" s="19"/>
      <c r="J267" s="21"/>
      <c r="K267" s="12"/>
      <c r="L267" s="9"/>
      <c r="M267" s="45"/>
      <c r="N267" s="19"/>
      <c r="O267" s="87"/>
      <c r="P267" s="87"/>
      <c r="Q267" s="87"/>
      <c r="R267" s="45">
        <v>0</v>
      </c>
      <c r="S267" s="19"/>
      <c r="T267" s="87"/>
      <c r="U267" s="87"/>
      <c r="V267" s="87"/>
      <c r="W267" s="45"/>
      <c r="X267" s="19"/>
      <c r="Y267" s="87"/>
      <c r="Z267" s="87"/>
      <c r="AA267" s="87"/>
      <c r="AB267" s="45"/>
      <c r="AC267" s="19"/>
      <c r="AD267" s="87"/>
      <c r="AE267" s="87"/>
      <c r="AF267" s="87"/>
      <c r="AG267" s="87"/>
      <c r="AH267" s="87"/>
      <c r="AI267" s="87"/>
      <c r="AJ267" s="87"/>
      <c r="AK267" s="87"/>
      <c r="AL267" s="87"/>
    </row>
    <row r="268" spans="1:38" ht="18" customHeight="1">
      <c r="A268" s="164"/>
      <c r="B268" s="6" t="s">
        <v>90</v>
      </c>
      <c r="C268" s="17"/>
      <c r="D268" s="19"/>
      <c r="E268" s="50"/>
      <c r="F268" s="11"/>
      <c r="G268" s="11"/>
      <c r="H268" s="17"/>
      <c r="I268" s="19"/>
      <c r="J268" s="21"/>
      <c r="K268" s="12"/>
      <c r="L268" s="9"/>
      <c r="M268" s="45"/>
      <c r="N268" s="19"/>
      <c r="O268" s="87"/>
      <c r="P268" s="87"/>
      <c r="Q268" s="87"/>
      <c r="R268" s="45"/>
      <c r="S268" s="19"/>
      <c r="T268" s="87"/>
      <c r="U268" s="87"/>
      <c r="V268" s="87"/>
      <c r="W268" s="45">
        <v>5</v>
      </c>
      <c r="X268" s="19">
        <f>4986/5</f>
        <v>997.2</v>
      </c>
      <c r="Y268" s="87"/>
      <c r="Z268" s="87"/>
      <c r="AA268" s="87"/>
      <c r="AB268" s="45"/>
      <c r="AC268" s="19"/>
      <c r="AD268" s="87"/>
      <c r="AE268" s="87"/>
      <c r="AF268" s="87"/>
      <c r="AG268" s="87"/>
      <c r="AH268" s="87"/>
      <c r="AI268" s="87"/>
      <c r="AJ268" s="87"/>
      <c r="AK268" s="87"/>
      <c r="AL268" s="87"/>
    </row>
    <row r="269" spans="1:38" ht="18" customHeight="1">
      <c r="A269" s="164"/>
      <c r="B269" s="6" t="s">
        <v>18</v>
      </c>
      <c r="C269" s="17"/>
      <c r="D269" s="19"/>
      <c r="E269" s="50"/>
      <c r="F269" s="11"/>
      <c r="G269" s="11"/>
      <c r="H269" s="17"/>
      <c r="I269" s="19"/>
      <c r="J269" s="21"/>
      <c r="K269" s="12"/>
      <c r="L269" s="9"/>
      <c r="M269" s="45"/>
      <c r="N269" s="19"/>
      <c r="O269" s="87"/>
      <c r="P269" s="87"/>
      <c r="Q269" s="87"/>
      <c r="R269" s="45">
        <v>12</v>
      </c>
      <c r="S269" s="19">
        <f>9242/12</f>
        <v>770.1666666666666</v>
      </c>
      <c r="T269" s="87"/>
      <c r="U269" s="87"/>
      <c r="V269" s="87"/>
      <c r="W269" s="45">
        <v>17</v>
      </c>
      <c r="X269" s="19">
        <f>35318.81/17</f>
        <v>2077.577058823529</v>
      </c>
      <c r="Y269" s="87"/>
      <c r="Z269" s="87"/>
      <c r="AA269" s="87"/>
      <c r="AB269" s="45"/>
      <c r="AC269" s="19"/>
      <c r="AD269" s="87"/>
      <c r="AE269" s="87"/>
      <c r="AF269" s="87"/>
      <c r="AG269" s="87"/>
      <c r="AH269" s="87"/>
      <c r="AI269" s="87"/>
      <c r="AJ269" s="87"/>
      <c r="AK269" s="87"/>
      <c r="AL269" s="87"/>
    </row>
    <row r="270" spans="1:38" ht="18" customHeight="1">
      <c r="A270" s="164"/>
      <c r="B270" s="6" t="s">
        <v>66</v>
      </c>
      <c r="C270" s="17"/>
      <c r="D270" s="19"/>
      <c r="E270" s="50"/>
      <c r="F270" s="11"/>
      <c r="G270" s="11"/>
      <c r="H270" s="17"/>
      <c r="I270" s="19"/>
      <c r="J270" s="21"/>
      <c r="K270" s="12"/>
      <c r="L270" s="9"/>
      <c r="M270" s="45"/>
      <c r="N270" s="19"/>
      <c r="O270" s="87"/>
      <c r="P270" s="87"/>
      <c r="Q270" s="87"/>
      <c r="R270" s="45"/>
      <c r="S270" s="19"/>
      <c r="T270" s="87"/>
      <c r="U270" s="87"/>
      <c r="V270" s="87"/>
      <c r="W270" s="45"/>
      <c r="X270" s="19"/>
      <c r="Y270" s="87"/>
      <c r="Z270" s="87"/>
      <c r="AA270" s="87"/>
      <c r="AB270" s="45"/>
      <c r="AC270" s="19"/>
      <c r="AD270" s="87"/>
      <c r="AE270" s="87"/>
      <c r="AF270" s="87"/>
      <c r="AG270" s="87"/>
      <c r="AH270" s="87"/>
      <c r="AI270" s="87"/>
      <c r="AJ270" s="87"/>
      <c r="AK270" s="87"/>
      <c r="AL270" s="87"/>
    </row>
    <row r="271" spans="1:38" ht="18" customHeight="1">
      <c r="A271" s="164"/>
      <c r="B271" s="69" t="s">
        <v>19</v>
      </c>
      <c r="C271" s="18"/>
      <c r="D271" s="20"/>
      <c r="E271" s="49"/>
      <c r="F271" s="5"/>
      <c r="G271" s="5"/>
      <c r="H271" s="18"/>
      <c r="I271" s="20"/>
      <c r="J271" s="40"/>
      <c r="K271" s="2"/>
      <c r="L271" s="3"/>
      <c r="M271" s="18"/>
      <c r="N271" s="20"/>
      <c r="O271" s="3"/>
      <c r="P271" s="3"/>
      <c r="Q271" s="3"/>
      <c r="R271" s="18">
        <f>SUM(R260:R270)</f>
        <v>52</v>
      </c>
      <c r="S271" s="20">
        <f>76910/52</f>
        <v>1479.0384615384614</v>
      </c>
      <c r="T271" s="3"/>
      <c r="U271" s="3"/>
      <c r="V271" s="3"/>
      <c r="W271" s="18">
        <f>SUM(W260:W270)</f>
        <v>76</v>
      </c>
      <c r="X271" s="20">
        <f>150219.61/76</f>
        <v>1976.5738157894734</v>
      </c>
      <c r="Y271" s="3"/>
      <c r="Z271" s="3"/>
      <c r="AA271" s="3"/>
      <c r="AB271" s="18"/>
      <c r="AC271" s="20"/>
      <c r="AD271" s="3"/>
      <c r="AE271" s="3"/>
      <c r="AF271" s="3"/>
      <c r="AG271" s="3"/>
      <c r="AH271" s="3"/>
      <c r="AI271" s="3"/>
      <c r="AJ271" s="3"/>
      <c r="AK271" s="3"/>
      <c r="AL271" s="3"/>
    </row>
    <row r="272" spans="1:38" ht="18" customHeight="1">
      <c r="A272" s="164" t="s">
        <v>59</v>
      </c>
      <c r="B272" s="6" t="s">
        <v>10</v>
      </c>
      <c r="C272" s="17">
        <v>14</v>
      </c>
      <c r="D272" s="19">
        <f>80632.52/14</f>
        <v>5759.465714285715</v>
      </c>
      <c r="E272" s="50"/>
      <c r="F272" s="11"/>
      <c r="G272" s="11"/>
      <c r="H272" s="17">
        <v>6</v>
      </c>
      <c r="I272" s="19">
        <f>43303.29/6</f>
        <v>7217.215</v>
      </c>
      <c r="J272" s="21"/>
      <c r="K272" s="12"/>
      <c r="L272" s="9"/>
      <c r="M272" s="45">
        <v>14</v>
      </c>
      <c r="N272" s="19">
        <f>84368.2/14</f>
        <v>6026.3</v>
      </c>
      <c r="O272" s="87"/>
      <c r="P272" s="87"/>
      <c r="Q272" s="87"/>
      <c r="R272" s="45">
        <v>14</v>
      </c>
      <c r="S272" s="19">
        <f>172221.12/14</f>
        <v>12301.50857142857</v>
      </c>
      <c r="T272" s="87"/>
      <c r="U272" s="87"/>
      <c r="V272" s="87"/>
      <c r="W272" s="45"/>
      <c r="X272" s="19"/>
      <c r="Y272" s="87"/>
      <c r="Z272" s="87"/>
      <c r="AA272" s="87"/>
      <c r="AB272" s="45"/>
      <c r="AC272" s="19"/>
      <c r="AD272" s="87"/>
      <c r="AE272" s="87"/>
      <c r="AF272" s="87"/>
      <c r="AG272" s="87"/>
      <c r="AH272" s="87"/>
      <c r="AI272" s="87"/>
      <c r="AJ272" s="87"/>
      <c r="AK272" s="87"/>
      <c r="AL272" s="87"/>
    </row>
    <row r="273" spans="1:38" ht="18" customHeight="1">
      <c r="A273" s="164"/>
      <c r="B273" s="6" t="s">
        <v>11</v>
      </c>
      <c r="C273" s="17">
        <v>70</v>
      </c>
      <c r="D273" s="19">
        <f>504312.21/70</f>
        <v>7204.460142857143</v>
      </c>
      <c r="E273" s="50"/>
      <c r="F273" s="11"/>
      <c r="G273" s="11"/>
      <c r="H273" s="17">
        <v>80</v>
      </c>
      <c r="I273" s="19">
        <f>863064.98/80</f>
        <v>10788.312249999999</v>
      </c>
      <c r="J273" s="21"/>
      <c r="K273" s="12"/>
      <c r="L273" s="9"/>
      <c r="M273" s="45">
        <v>60</v>
      </c>
      <c r="N273" s="19">
        <f>610168.41/60</f>
        <v>10169.4735</v>
      </c>
      <c r="O273" s="87"/>
      <c r="P273" s="87"/>
      <c r="Q273" s="87"/>
      <c r="R273" s="45">
        <v>79</v>
      </c>
      <c r="S273" s="19">
        <f>548622.65/79</f>
        <v>6944.590506329114</v>
      </c>
      <c r="T273" s="87"/>
      <c r="U273" s="87"/>
      <c r="V273" s="87"/>
      <c r="W273" s="45">
        <v>75</v>
      </c>
      <c r="X273" s="19">
        <f>525503.78/75</f>
        <v>7006.717066666667</v>
      </c>
      <c r="Y273" s="87"/>
      <c r="Z273" s="87"/>
      <c r="AA273" s="87"/>
      <c r="AB273" s="45">
        <v>121</v>
      </c>
      <c r="AC273" s="19">
        <f>738120.53/AB273</f>
        <v>6100.169669421488</v>
      </c>
      <c r="AD273" s="87"/>
      <c r="AE273" s="87"/>
      <c r="AF273" s="87"/>
      <c r="AG273" s="45">
        <v>94</v>
      </c>
      <c r="AH273" s="45" t="s">
        <v>100</v>
      </c>
      <c r="AI273" s="19">
        <f>881255.83/94</f>
        <v>9375.062021276595</v>
      </c>
      <c r="AJ273" s="87"/>
      <c r="AK273" s="87"/>
      <c r="AL273" s="87"/>
    </row>
    <row r="274" spans="1:38" ht="18" customHeight="1">
      <c r="A274" s="164"/>
      <c r="B274" s="6" t="s">
        <v>12</v>
      </c>
      <c r="C274" s="17">
        <v>2</v>
      </c>
      <c r="D274" s="19">
        <f>66277.18/2</f>
        <v>33138.59</v>
      </c>
      <c r="E274" s="50"/>
      <c r="F274" s="11"/>
      <c r="G274" s="11"/>
      <c r="H274" s="17">
        <v>4</v>
      </c>
      <c r="I274" s="19">
        <f>74087.37/4</f>
        <v>18521.8425</v>
      </c>
      <c r="J274" s="21"/>
      <c r="K274" s="13"/>
      <c r="L274" s="9"/>
      <c r="M274" s="45">
        <v>6</v>
      </c>
      <c r="N274" s="19">
        <f>93252.37/6</f>
        <v>15542.061666666666</v>
      </c>
      <c r="O274" s="87"/>
      <c r="P274" s="87"/>
      <c r="Q274" s="87"/>
      <c r="R274" s="45">
        <v>6</v>
      </c>
      <c r="S274" s="19">
        <f>17716.86/6</f>
        <v>2952.81</v>
      </c>
      <c r="T274" s="87"/>
      <c r="U274" s="87"/>
      <c r="V274" s="87"/>
      <c r="W274" s="45"/>
      <c r="X274" s="19"/>
      <c r="Y274" s="87"/>
      <c r="Z274" s="87"/>
      <c r="AA274" s="87"/>
      <c r="AB274" s="45"/>
      <c r="AC274" s="19"/>
      <c r="AD274" s="87"/>
      <c r="AE274" s="87"/>
      <c r="AF274" s="87"/>
      <c r="AG274" s="45"/>
      <c r="AH274" s="45"/>
      <c r="AI274" s="19"/>
      <c r="AJ274" s="87"/>
      <c r="AK274" s="87"/>
      <c r="AL274" s="87"/>
    </row>
    <row r="275" spans="1:38" ht="18" customHeight="1">
      <c r="A275" s="164"/>
      <c r="B275" s="6" t="s">
        <v>13</v>
      </c>
      <c r="C275" s="17">
        <v>28</v>
      </c>
      <c r="D275" s="19">
        <f>218441.88/28</f>
        <v>7801.495714285715</v>
      </c>
      <c r="E275" s="50"/>
      <c r="F275" s="11"/>
      <c r="G275" s="11"/>
      <c r="H275" s="17">
        <v>25</v>
      </c>
      <c r="I275" s="19">
        <f>176835.52/25</f>
        <v>7073.4208</v>
      </c>
      <c r="J275" s="21"/>
      <c r="K275" s="12"/>
      <c r="L275" s="9"/>
      <c r="M275" s="45">
        <v>36</v>
      </c>
      <c r="N275" s="19">
        <f>124627.32/36</f>
        <v>3461.8700000000003</v>
      </c>
      <c r="O275" s="87"/>
      <c r="P275" s="87"/>
      <c r="Q275" s="87"/>
      <c r="R275" s="45">
        <v>16</v>
      </c>
      <c r="S275" s="19">
        <f>69324.81/16</f>
        <v>4332.800625</v>
      </c>
      <c r="T275" s="87"/>
      <c r="U275" s="87"/>
      <c r="V275" s="87"/>
      <c r="W275" s="45"/>
      <c r="X275" s="19"/>
      <c r="Y275" s="87"/>
      <c r="Z275" s="87"/>
      <c r="AA275" s="87"/>
      <c r="AB275" s="45"/>
      <c r="AC275" s="19"/>
      <c r="AD275" s="87"/>
      <c r="AE275" s="87"/>
      <c r="AF275" s="87"/>
      <c r="AG275" s="45"/>
      <c r="AH275" s="45"/>
      <c r="AI275" s="19"/>
      <c r="AJ275" s="87"/>
      <c r="AK275" s="87"/>
      <c r="AL275" s="87"/>
    </row>
    <row r="276" spans="1:38" ht="18" customHeight="1">
      <c r="A276" s="164"/>
      <c r="B276" s="6" t="s">
        <v>14</v>
      </c>
      <c r="C276" s="17">
        <v>6</v>
      </c>
      <c r="D276" s="19">
        <f>38105.94/6</f>
        <v>6350.990000000001</v>
      </c>
      <c r="E276" s="50"/>
      <c r="F276" s="11"/>
      <c r="G276" s="11"/>
      <c r="H276" s="17">
        <v>6</v>
      </c>
      <c r="I276" s="19">
        <f>24762.62/6</f>
        <v>4127.1033333333335</v>
      </c>
      <c r="J276" s="21"/>
      <c r="K276" s="12"/>
      <c r="L276" s="9"/>
      <c r="M276" s="45">
        <v>6</v>
      </c>
      <c r="N276" s="19">
        <f>81345.32/6</f>
        <v>13557.553333333335</v>
      </c>
      <c r="O276" s="87"/>
      <c r="P276" s="87"/>
      <c r="Q276" s="87"/>
      <c r="R276" s="45">
        <v>7</v>
      </c>
      <c r="S276" s="19">
        <f>91077.85/7</f>
        <v>13011.121428571429</v>
      </c>
      <c r="T276" s="87"/>
      <c r="U276" s="87"/>
      <c r="V276" s="87"/>
      <c r="W276" s="45">
        <v>7</v>
      </c>
      <c r="X276" s="19">
        <f>13006.91/7</f>
        <v>1858.1299999999999</v>
      </c>
      <c r="Y276" s="87"/>
      <c r="Z276" s="87"/>
      <c r="AA276" s="87"/>
      <c r="AB276" s="45">
        <v>7</v>
      </c>
      <c r="AC276" s="19">
        <f>19939.9/AB276</f>
        <v>2848.557142857143</v>
      </c>
      <c r="AD276" s="87"/>
      <c r="AE276" s="87"/>
      <c r="AF276" s="87"/>
      <c r="AG276" s="45">
        <v>5</v>
      </c>
      <c r="AH276" s="45"/>
      <c r="AI276" s="19">
        <f>5973.76/5</f>
        <v>1194.752</v>
      </c>
      <c r="AJ276" s="87"/>
      <c r="AK276" s="87"/>
      <c r="AL276" s="87"/>
    </row>
    <row r="277" spans="1:38" ht="18" customHeight="1">
      <c r="A277" s="164"/>
      <c r="B277" s="6" t="s">
        <v>15</v>
      </c>
      <c r="C277" s="17">
        <v>2</v>
      </c>
      <c r="D277" s="19">
        <f>1799.08/2</f>
        <v>899.54</v>
      </c>
      <c r="E277" s="50"/>
      <c r="F277" s="11"/>
      <c r="G277" s="11"/>
      <c r="H277" s="17">
        <v>2</v>
      </c>
      <c r="I277" s="19">
        <f>2316.4/2</f>
        <v>1158.2</v>
      </c>
      <c r="J277" s="21"/>
      <c r="K277" s="12"/>
      <c r="L277" s="9"/>
      <c r="M277" s="45">
        <v>5</v>
      </c>
      <c r="N277" s="19">
        <f>2835/5</f>
        <v>567</v>
      </c>
      <c r="O277" s="87"/>
      <c r="P277" s="87"/>
      <c r="Q277" s="87"/>
      <c r="R277" s="45">
        <v>0</v>
      </c>
      <c r="S277" s="19">
        <v>0</v>
      </c>
      <c r="T277" s="87"/>
      <c r="U277" s="87"/>
      <c r="V277" s="87"/>
      <c r="W277" s="45"/>
      <c r="X277" s="19"/>
      <c r="Y277" s="87"/>
      <c r="Z277" s="87"/>
      <c r="AA277" s="87"/>
      <c r="AB277" s="45"/>
      <c r="AC277" s="19"/>
      <c r="AD277" s="87"/>
      <c r="AE277" s="87"/>
      <c r="AF277" s="87"/>
      <c r="AG277" s="45"/>
      <c r="AH277" s="45"/>
      <c r="AI277" s="19"/>
      <c r="AJ277" s="87"/>
      <c r="AK277" s="87"/>
      <c r="AL277" s="87"/>
    </row>
    <row r="278" spans="1:38" ht="18" customHeight="1">
      <c r="A278" s="164"/>
      <c r="B278" s="6" t="s">
        <v>16</v>
      </c>
      <c r="C278" s="17">
        <v>10</v>
      </c>
      <c r="D278" s="19">
        <f>135098.93/10</f>
        <v>13509.893</v>
      </c>
      <c r="E278" s="50"/>
      <c r="F278" s="11"/>
      <c r="G278" s="11"/>
      <c r="H278" s="17">
        <v>12</v>
      </c>
      <c r="I278" s="19">
        <f>108351.85/12</f>
        <v>9029.320833333333</v>
      </c>
      <c r="J278" s="21"/>
      <c r="K278" s="12"/>
      <c r="L278" s="9"/>
      <c r="M278" s="45">
        <v>5</v>
      </c>
      <c r="N278" s="19">
        <f>53657.6/5</f>
        <v>10731.52</v>
      </c>
      <c r="O278" s="87"/>
      <c r="P278" s="87"/>
      <c r="Q278" s="87"/>
      <c r="R278" s="45">
        <v>10</v>
      </c>
      <c r="S278" s="19">
        <f>27805.73/10</f>
        <v>2780.573</v>
      </c>
      <c r="T278" s="87"/>
      <c r="U278" s="87"/>
      <c r="V278" s="87"/>
      <c r="W278" s="45">
        <v>4</v>
      </c>
      <c r="X278" s="19">
        <f>15747.48/4</f>
        <v>3936.87</v>
      </c>
      <c r="Y278" s="87"/>
      <c r="Z278" s="87"/>
      <c r="AA278" s="87"/>
      <c r="AB278" s="45">
        <v>3</v>
      </c>
      <c r="AC278" s="19">
        <f>91234.03/AB278</f>
        <v>30411.343333333334</v>
      </c>
      <c r="AD278" s="87"/>
      <c r="AE278" s="87"/>
      <c r="AF278" s="87"/>
      <c r="AG278" s="45">
        <v>6</v>
      </c>
      <c r="AH278" s="45"/>
      <c r="AI278" s="19">
        <f>65375.56/AG278</f>
        <v>10895.926666666666</v>
      </c>
      <c r="AJ278" s="87"/>
      <c r="AK278" s="87"/>
      <c r="AL278" s="87"/>
    </row>
    <row r="279" spans="1:38" ht="18" customHeight="1">
      <c r="A279" s="164"/>
      <c r="B279" s="6" t="s">
        <v>17</v>
      </c>
      <c r="C279" s="17">
        <v>2</v>
      </c>
      <c r="D279" s="19">
        <f>21424.71/2</f>
        <v>10712.355</v>
      </c>
      <c r="E279" s="50"/>
      <c r="F279" s="11"/>
      <c r="G279" s="11"/>
      <c r="H279" s="17">
        <v>4</v>
      </c>
      <c r="I279" s="19">
        <f>46269.3/4</f>
        <v>11567.325</v>
      </c>
      <c r="J279" s="21"/>
      <c r="K279" s="12"/>
      <c r="L279" s="9"/>
      <c r="M279" s="45">
        <v>2</v>
      </c>
      <c r="N279" s="19">
        <f>28061.05/2</f>
        <v>14030.525</v>
      </c>
      <c r="O279" s="87"/>
      <c r="P279" s="87"/>
      <c r="Q279" s="87"/>
      <c r="R279" s="45">
        <v>3</v>
      </c>
      <c r="S279" s="19">
        <f>12113.45/3</f>
        <v>4037.816666666667</v>
      </c>
      <c r="T279" s="87"/>
      <c r="U279" s="87"/>
      <c r="V279" s="87"/>
      <c r="W279" s="45"/>
      <c r="X279" s="19"/>
      <c r="Y279" s="87"/>
      <c r="Z279" s="87"/>
      <c r="AA279" s="87"/>
      <c r="AB279" s="45"/>
      <c r="AC279" s="19"/>
      <c r="AD279" s="87"/>
      <c r="AE279" s="87"/>
      <c r="AF279" s="87"/>
      <c r="AG279" s="45"/>
      <c r="AH279" s="45"/>
      <c r="AI279" s="19"/>
      <c r="AJ279" s="87"/>
      <c r="AK279" s="87"/>
      <c r="AL279" s="87"/>
    </row>
    <row r="280" spans="1:38" ht="18" customHeight="1">
      <c r="A280" s="164"/>
      <c r="B280" s="6" t="s">
        <v>90</v>
      </c>
      <c r="C280" s="17"/>
      <c r="D280" s="19"/>
      <c r="E280" s="50"/>
      <c r="F280" s="11"/>
      <c r="G280" s="11"/>
      <c r="H280" s="17"/>
      <c r="I280" s="19"/>
      <c r="J280" s="21"/>
      <c r="K280" s="12"/>
      <c r="L280" s="9"/>
      <c r="M280" s="45"/>
      <c r="N280" s="19"/>
      <c r="O280" s="87"/>
      <c r="P280" s="87"/>
      <c r="Q280" s="87"/>
      <c r="R280" s="45"/>
      <c r="S280" s="19"/>
      <c r="T280" s="87"/>
      <c r="U280" s="87"/>
      <c r="V280" s="87"/>
      <c r="W280" s="45">
        <v>47</v>
      </c>
      <c r="X280" s="19">
        <f>369170.37/47</f>
        <v>7854.688723404255</v>
      </c>
      <c r="Y280" s="87"/>
      <c r="Z280" s="87"/>
      <c r="AA280" s="87"/>
      <c r="AB280" s="45">
        <v>81</v>
      </c>
      <c r="AC280" s="19">
        <f>622562.62/AB280</f>
        <v>7685.958271604938</v>
      </c>
      <c r="AD280" s="87"/>
      <c r="AE280" s="87"/>
      <c r="AF280" s="87"/>
      <c r="AG280" s="45">
        <v>59</v>
      </c>
      <c r="AH280" s="45" t="s">
        <v>101</v>
      </c>
      <c r="AI280" s="19">
        <f>713829.28/59</f>
        <v>12098.801355932204</v>
      </c>
      <c r="AJ280" s="87"/>
      <c r="AK280" s="87"/>
      <c r="AL280" s="87"/>
    </row>
    <row r="281" spans="1:38" ht="18" customHeight="1">
      <c r="A281" s="164"/>
      <c r="B281" s="6" t="s">
        <v>18</v>
      </c>
      <c r="C281" s="17">
        <v>52</v>
      </c>
      <c r="D281" s="19">
        <f>389339.48/52</f>
        <v>7487.297692307692</v>
      </c>
      <c r="E281" s="50"/>
      <c r="F281" s="11"/>
      <c r="G281" s="11"/>
      <c r="H281" s="17">
        <v>37</v>
      </c>
      <c r="I281" s="19">
        <f>391412.05/37</f>
        <v>10578.704054054053</v>
      </c>
      <c r="J281" s="21"/>
      <c r="K281" s="12"/>
      <c r="L281" s="9"/>
      <c r="M281" s="45">
        <v>32</v>
      </c>
      <c r="N281" s="19">
        <f>287375.32/32</f>
        <v>8980.47875</v>
      </c>
      <c r="O281" s="87"/>
      <c r="P281" s="87"/>
      <c r="Q281" s="87"/>
      <c r="R281" s="45">
        <v>26</v>
      </c>
      <c r="S281" s="19">
        <f>260110.53/26</f>
        <v>10004.251153846153</v>
      </c>
      <c r="T281" s="87"/>
      <c r="U281" s="87"/>
      <c r="V281" s="87"/>
      <c r="W281" s="45">
        <v>35</v>
      </c>
      <c r="X281" s="19">
        <f>140340.82/35</f>
        <v>4009.7377142857144</v>
      </c>
      <c r="Y281" s="87"/>
      <c r="Z281" s="87"/>
      <c r="AA281" s="87"/>
      <c r="AB281" s="45">
        <v>30</v>
      </c>
      <c r="AC281" s="19">
        <f>121713.82/AB281</f>
        <v>4057.1273333333334</v>
      </c>
      <c r="AD281" s="87"/>
      <c r="AE281" s="87"/>
      <c r="AF281" s="87"/>
      <c r="AG281" s="45">
        <v>49</v>
      </c>
      <c r="AH281" s="45" t="s">
        <v>102</v>
      </c>
      <c r="AI281" s="19">
        <f>273354.58/49</f>
        <v>5578.664897959184</v>
      </c>
      <c r="AJ281" s="87"/>
      <c r="AK281" s="87"/>
      <c r="AL281" s="87"/>
    </row>
    <row r="282" spans="1:38" ht="18" customHeight="1">
      <c r="A282" s="164"/>
      <c r="B282" s="6" t="s">
        <v>66</v>
      </c>
      <c r="C282" s="17"/>
      <c r="D282" s="19"/>
      <c r="E282" s="50"/>
      <c r="F282" s="11"/>
      <c r="G282" s="11"/>
      <c r="H282" s="17">
        <v>2</v>
      </c>
      <c r="I282" s="19">
        <f>62275.2/2</f>
        <v>31137.6</v>
      </c>
      <c r="J282" s="21"/>
      <c r="K282" s="12"/>
      <c r="L282" s="9"/>
      <c r="M282" s="45"/>
      <c r="N282" s="19"/>
      <c r="O282" s="87"/>
      <c r="P282" s="87"/>
      <c r="Q282" s="87"/>
      <c r="R282" s="45">
        <v>1</v>
      </c>
      <c r="S282" s="19">
        <v>5616</v>
      </c>
      <c r="T282" s="87"/>
      <c r="U282" s="87"/>
      <c r="V282" s="87"/>
      <c r="W282" s="45"/>
      <c r="X282" s="19"/>
      <c r="Y282" s="87"/>
      <c r="Z282" s="87"/>
      <c r="AA282" s="87"/>
      <c r="AB282" s="45"/>
      <c r="AC282" s="19"/>
      <c r="AD282" s="87"/>
      <c r="AE282" s="87"/>
      <c r="AF282" s="87"/>
      <c r="AG282" s="87"/>
      <c r="AH282" s="45"/>
      <c r="AI282" s="87"/>
      <c r="AJ282" s="87"/>
      <c r="AK282" s="87"/>
      <c r="AL282" s="87"/>
    </row>
    <row r="283" spans="1:38" ht="18" customHeight="1">
      <c r="A283" s="164"/>
      <c r="B283" s="69" t="s">
        <v>19</v>
      </c>
      <c r="C283" s="18">
        <f>SUM(C272:C282)</f>
        <v>186</v>
      </c>
      <c r="D283" s="20">
        <v>7824.9</v>
      </c>
      <c r="E283" s="49"/>
      <c r="F283" s="5"/>
      <c r="G283" s="5"/>
      <c r="H283" s="18">
        <f>SUM(H272:H282)</f>
        <v>178</v>
      </c>
      <c r="I283" s="20">
        <v>10071.23</v>
      </c>
      <c r="J283" s="40"/>
      <c r="K283" s="2"/>
      <c r="L283" s="3"/>
      <c r="M283" s="18">
        <f>SUM(M272:M282)</f>
        <v>166</v>
      </c>
      <c r="N283" s="20">
        <f>1365691.59/166</f>
        <v>8227.057771084337</v>
      </c>
      <c r="O283" s="3"/>
      <c r="P283" s="3"/>
      <c r="Q283" s="3"/>
      <c r="R283" s="18">
        <f>SUM(R272:R282)</f>
        <v>162</v>
      </c>
      <c r="S283" s="20">
        <f>1204609/162</f>
        <v>7435.858024691358</v>
      </c>
      <c r="T283" s="3"/>
      <c r="U283" s="3"/>
      <c r="V283" s="3"/>
      <c r="W283" s="18">
        <f>SUM(W272:W282)</f>
        <v>168</v>
      </c>
      <c r="X283" s="20">
        <f>1063769.36/168</f>
        <v>6331.960476190477</v>
      </c>
      <c r="Y283" s="3"/>
      <c r="Z283" s="3"/>
      <c r="AA283" s="3"/>
      <c r="AB283" s="18">
        <f>SUM(AB272:AB282)</f>
        <v>242</v>
      </c>
      <c r="AC283" s="20">
        <f>1593570.9/AB283</f>
        <v>6585.003719008264</v>
      </c>
      <c r="AD283" s="3"/>
      <c r="AE283" s="3"/>
      <c r="AF283" s="3"/>
      <c r="AG283" s="18">
        <f>SUM(AG273:AG282)</f>
        <v>213</v>
      </c>
      <c r="AH283" s="18" t="s">
        <v>99</v>
      </c>
      <c r="AI283" s="3">
        <f>1939789.01/213</f>
        <v>9106.990657276996</v>
      </c>
      <c r="AJ283" s="3"/>
      <c r="AK283" s="3"/>
      <c r="AL283" s="3"/>
    </row>
    <row r="285" spans="2:3" ht="15.75">
      <c r="B285" s="70" t="s">
        <v>71</v>
      </c>
      <c r="C285" s="71" t="s">
        <v>74</v>
      </c>
    </row>
    <row r="286" spans="2:29" ht="15.75">
      <c r="B286" s="69" t="s">
        <v>71</v>
      </c>
      <c r="C286" s="71" t="s">
        <v>75</v>
      </c>
      <c r="H286" s="1"/>
      <c r="S286" s="120"/>
      <c r="X286" s="120"/>
      <c r="AC286" s="120"/>
    </row>
    <row r="287" spans="8:29" ht="12.75">
      <c r="H287" s="1"/>
      <c r="S287" s="42"/>
      <c r="X287" s="42"/>
      <c r="AC287" s="42"/>
    </row>
    <row r="289" spans="19:29" ht="12.75">
      <c r="S289" s="42"/>
      <c r="X289" s="42"/>
      <c r="AC289" s="42"/>
    </row>
  </sheetData>
  <mergeCells count="33">
    <mergeCell ref="A272:A283"/>
    <mergeCell ref="A82:A92"/>
    <mergeCell ref="A105:A116"/>
    <mergeCell ref="A117:A126"/>
    <mergeCell ref="A150:A159"/>
    <mergeCell ref="A93:A104"/>
    <mergeCell ref="A127:A137"/>
    <mergeCell ref="A226:A236"/>
    <mergeCell ref="A138:A149"/>
    <mergeCell ref="A204:A214"/>
    <mergeCell ref="A260:A271"/>
    <mergeCell ref="M2:Q2"/>
    <mergeCell ref="A249:A259"/>
    <mergeCell ref="A4:A14"/>
    <mergeCell ref="A26:A36"/>
    <mergeCell ref="A37:A48"/>
    <mergeCell ref="A60:A70"/>
    <mergeCell ref="H2:L2"/>
    <mergeCell ref="A15:A25"/>
    <mergeCell ref="A237:A248"/>
    <mergeCell ref="AG2:AL2"/>
    <mergeCell ref="A71:A81"/>
    <mergeCell ref="A193:A203"/>
    <mergeCell ref="A160:A171"/>
    <mergeCell ref="AB2:AF2"/>
    <mergeCell ref="W2:AA2"/>
    <mergeCell ref="R2:V2"/>
    <mergeCell ref="A49:A59"/>
    <mergeCell ref="A2:A3"/>
    <mergeCell ref="C2:G2"/>
    <mergeCell ref="A182:A192"/>
    <mergeCell ref="A215:A225"/>
    <mergeCell ref="A172:A181"/>
  </mergeCells>
  <printOptions/>
  <pageMargins left="0.75" right="0.75" top="1" bottom="1" header="0.5" footer="0.5"/>
  <pageSetup horizontalDpi="600" verticalDpi="600" orientation="landscape" paperSize="8" scale="65" r:id="rId3"/>
  <ignoredErrors>
    <ignoredError sqref="AI214 AI236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5"/>
  <sheetViews>
    <sheetView zoomScale="75" zoomScaleNormal="75" workbookViewId="0" topLeftCell="A1">
      <pane xSplit="2" ySplit="3" topLeftCell="U4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N19" sqref="AN19"/>
    </sheetView>
  </sheetViews>
  <sheetFormatPr defaultColWidth="9.140625" defaultRowHeight="12.75"/>
  <cols>
    <col min="1" max="1" width="15.8515625" style="0" customWidth="1"/>
    <col min="2" max="2" width="32.421875" style="0" bestFit="1" customWidth="1"/>
    <col min="3" max="3" width="19.00390625" style="0" bestFit="1" customWidth="1"/>
    <col min="4" max="4" width="16.140625" style="42" bestFit="1" customWidth="1"/>
    <col min="5" max="5" width="15.8515625" style="0" bestFit="1" customWidth="1"/>
    <col min="6" max="6" width="16.7109375" style="0" bestFit="1" customWidth="1"/>
    <col min="7" max="7" width="16.00390625" style="0" bestFit="1" customWidth="1"/>
    <col min="8" max="8" width="15.57421875" style="0" bestFit="1" customWidth="1"/>
    <col min="9" max="9" width="16.140625" style="0" bestFit="1" customWidth="1"/>
    <col min="10" max="10" width="15.8515625" style="52" bestFit="1" customWidth="1"/>
    <col min="11" max="11" width="16.7109375" style="0" bestFit="1" customWidth="1"/>
    <col min="12" max="12" width="16.00390625" style="0" bestFit="1" customWidth="1"/>
    <col min="13" max="13" width="15.57421875" style="0" bestFit="1" customWidth="1"/>
    <col min="14" max="14" width="16.140625" style="0" bestFit="1" customWidth="1"/>
    <col min="15" max="15" width="15.8515625" style="0" bestFit="1" customWidth="1"/>
    <col min="16" max="16" width="16.7109375" style="0" bestFit="1" customWidth="1"/>
    <col min="17" max="17" width="16.00390625" style="0" bestFit="1" customWidth="1"/>
    <col min="18" max="18" width="14.00390625" style="0" customWidth="1"/>
    <col min="19" max="19" width="14.8515625" style="0" customWidth="1"/>
    <col min="20" max="20" width="13.8515625" style="0" customWidth="1"/>
    <col min="21" max="21" width="15.28125" style="0" customWidth="1"/>
    <col min="22" max="22" width="12.7109375" style="0" customWidth="1"/>
    <col min="23" max="23" width="13.7109375" style="0" customWidth="1"/>
    <col min="24" max="24" width="16.57421875" style="0" bestFit="1" customWidth="1"/>
    <col min="25" max="25" width="13.8515625" style="0" bestFit="1" customWidth="1"/>
    <col min="26" max="26" width="15.28125" style="0" bestFit="1" customWidth="1"/>
    <col min="27" max="27" width="12.7109375" style="0" bestFit="1" customWidth="1"/>
    <col min="28" max="28" width="13.7109375" style="0" customWidth="1"/>
    <col min="29" max="29" width="16.57421875" style="0" bestFit="1" customWidth="1"/>
    <col min="30" max="30" width="13.8515625" style="0" bestFit="1" customWidth="1"/>
    <col min="31" max="31" width="15.28125" style="0" bestFit="1" customWidth="1"/>
    <col min="32" max="32" width="12.7109375" style="0" bestFit="1" customWidth="1"/>
    <col min="33" max="34" width="13.7109375" style="0" customWidth="1"/>
    <col min="35" max="35" width="16.57421875" style="0" bestFit="1" customWidth="1"/>
    <col min="36" max="36" width="13.8515625" style="0" bestFit="1" customWidth="1"/>
    <col min="37" max="37" width="15.28125" style="0" bestFit="1" customWidth="1"/>
    <col min="38" max="38" width="12.7109375" style="0" bestFit="1" customWidth="1"/>
  </cols>
  <sheetData>
    <row r="1" ht="12.75"/>
    <row r="2" spans="1:38" ht="30" customHeight="1">
      <c r="A2" s="163"/>
      <c r="B2" s="158" t="s">
        <v>9</v>
      </c>
      <c r="C2" s="158"/>
      <c r="D2" s="158"/>
      <c r="E2" s="158"/>
      <c r="F2" s="158"/>
      <c r="G2" s="158"/>
      <c r="H2" s="158" t="s">
        <v>20</v>
      </c>
      <c r="I2" s="158"/>
      <c r="J2" s="158"/>
      <c r="K2" s="158"/>
      <c r="L2" s="158"/>
      <c r="M2" s="158" t="s">
        <v>76</v>
      </c>
      <c r="N2" s="158"/>
      <c r="O2" s="158"/>
      <c r="P2" s="158"/>
      <c r="Q2" s="158"/>
      <c r="R2" s="158" t="s">
        <v>83</v>
      </c>
      <c r="S2" s="158"/>
      <c r="T2" s="158"/>
      <c r="U2" s="158"/>
      <c r="V2" s="158"/>
      <c r="W2" s="158" t="s">
        <v>89</v>
      </c>
      <c r="X2" s="158"/>
      <c r="Y2" s="158"/>
      <c r="Z2" s="158"/>
      <c r="AA2" s="158"/>
      <c r="AB2" s="158" t="s">
        <v>92</v>
      </c>
      <c r="AC2" s="158"/>
      <c r="AD2" s="158"/>
      <c r="AE2" s="158"/>
      <c r="AF2" s="158"/>
      <c r="AG2" s="158" t="s">
        <v>93</v>
      </c>
      <c r="AH2" s="158"/>
      <c r="AI2" s="158"/>
      <c r="AJ2" s="158"/>
      <c r="AK2" s="158"/>
      <c r="AL2" s="158"/>
    </row>
    <row r="3" spans="1:38" ht="57.75" customHeight="1">
      <c r="A3" s="163"/>
      <c r="B3" s="126"/>
      <c r="C3" s="7" t="s">
        <v>29</v>
      </c>
      <c r="D3" s="41" t="s">
        <v>30</v>
      </c>
      <c r="E3" s="8" t="s">
        <v>58</v>
      </c>
      <c r="F3" s="8" t="s">
        <v>32</v>
      </c>
      <c r="G3" s="8" t="s">
        <v>31</v>
      </c>
      <c r="H3" s="7" t="s">
        <v>29</v>
      </c>
      <c r="I3" s="8" t="s">
        <v>30</v>
      </c>
      <c r="J3" s="46" t="s">
        <v>58</v>
      </c>
      <c r="K3" s="8" t="s">
        <v>32</v>
      </c>
      <c r="L3" s="8" t="s">
        <v>31</v>
      </c>
      <c r="M3" s="7" t="s">
        <v>29</v>
      </c>
      <c r="N3" s="8" t="s">
        <v>30</v>
      </c>
      <c r="O3" s="46" t="s">
        <v>58</v>
      </c>
      <c r="P3" s="8" t="s">
        <v>32</v>
      </c>
      <c r="Q3" s="8" t="s">
        <v>31</v>
      </c>
      <c r="R3" s="7" t="s">
        <v>29</v>
      </c>
      <c r="S3" s="8" t="s">
        <v>30</v>
      </c>
      <c r="T3" s="46" t="s">
        <v>58</v>
      </c>
      <c r="U3" s="8" t="s">
        <v>32</v>
      </c>
      <c r="V3" s="8" t="s">
        <v>31</v>
      </c>
      <c r="W3" s="7" t="s">
        <v>29</v>
      </c>
      <c r="X3" s="8" t="s">
        <v>30</v>
      </c>
      <c r="Y3" s="46" t="s">
        <v>58</v>
      </c>
      <c r="Z3" s="8" t="s">
        <v>32</v>
      </c>
      <c r="AA3" s="8" t="s">
        <v>31</v>
      </c>
      <c r="AB3" s="7" t="s">
        <v>29</v>
      </c>
      <c r="AC3" s="8" t="s">
        <v>30</v>
      </c>
      <c r="AD3" s="46" t="s">
        <v>58</v>
      </c>
      <c r="AE3" s="8" t="s">
        <v>32</v>
      </c>
      <c r="AF3" s="8" t="s">
        <v>31</v>
      </c>
      <c r="AG3" s="7" t="s">
        <v>29</v>
      </c>
      <c r="AH3" s="7" t="s">
        <v>95</v>
      </c>
      <c r="AI3" s="8" t="s">
        <v>30</v>
      </c>
      <c r="AJ3" s="46" t="s">
        <v>58</v>
      </c>
      <c r="AK3" s="8" t="s">
        <v>32</v>
      </c>
      <c r="AL3" s="8" t="s">
        <v>31</v>
      </c>
    </row>
    <row r="4" spans="1:38" s="35" customFormat="1" ht="19.5" customHeight="1" hidden="1">
      <c r="A4" s="165" t="s">
        <v>82</v>
      </c>
      <c r="B4" s="6" t="s">
        <v>10</v>
      </c>
      <c r="C4" s="14">
        <v>25</v>
      </c>
      <c r="D4" s="14"/>
      <c r="E4" s="110"/>
      <c r="F4" s="14"/>
      <c r="G4" s="14"/>
      <c r="H4" s="14">
        <v>49</v>
      </c>
      <c r="I4" s="14"/>
      <c r="J4" s="111"/>
      <c r="K4" s="14"/>
      <c r="L4" s="14"/>
      <c r="M4" s="14">
        <v>23</v>
      </c>
      <c r="N4" s="14"/>
      <c r="O4" s="111"/>
      <c r="P4" s="14"/>
      <c r="Q4" s="14"/>
      <c r="R4" s="14">
        <v>39</v>
      </c>
      <c r="S4" s="14"/>
      <c r="T4" s="111"/>
      <c r="U4" s="14"/>
      <c r="V4" s="14"/>
      <c r="W4" s="14"/>
      <c r="X4" s="14"/>
      <c r="Y4" s="111"/>
      <c r="Z4" s="14"/>
      <c r="AA4" s="14"/>
      <c r="AB4" s="14"/>
      <c r="AC4" s="14"/>
      <c r="AD4" s="111"/>
      <c r="AE4" s="14"/>
      <c r="AF4" s="14"/>
      <c r="AG4" s="14"/>
      <c r="AH4" s="14"/>
      <c r="AI4" s="14"/>
      <c r="AJ4" s="111"/>
      <c r="AK4" s="14"/>
      <c r="AL4" s="14"/>
    </row>
    <row r="5" spans="1:38" s="35" customFormat="1" ht="19.5" customHeight="1">
      <c r="A5" s="165"/>
      <c r="B5" s="6" t="s">
        <v>11</v>
      </c>
      <c r="C5" s="14">
        <v>224</v>
      </c>
      <c r="D5" s="14"/>
      <c r="E5" s="110"/>
      <c r="F5" s="14"/>
      <c r="G5" s="14"/>
      <c r="H5" s="14">
        <v>191</v>
      </c>
      <c r="I5" s="14"/>
      <c r="J5" s="111"/>
      <c r="K5" s="14"/>
      <c r="L5" s="14"/>
      <c r="M5" s="14">
        <v>196</v>
      </c>
      <c r="N5" s="14"/>
      <c r="O5" s="111"/>
      <c r="P5" s="14"/>
      <c r="Q5" s="14"/>
      <c r="R5" s="14">
        <v>289</v>
      </c>
      <c r="S5" s="14"/>
      <c r="T5" s="111"/>
      <c r="U5" s="14"/>
      <c r="V5" s="14"/>
      <c r="W5" s="14">
        <v>281</v>
      </c>
      <c r="X5" s="14"/>
      <c r="Y5" s="111"/>
      <c r="Z5" s="14"/>
      <c r="AA5" s="14"/>
      <c r="AB5" s="14"/>
      <c r="AC5" s="14">
        <v>247</v>
      </c>
      <c r="AD5" s="111"/>
      <c r="AE5" s="14"/>
      <c r="AF5" s="14"/>
      <c r="AG5" s="14">
        <v>225</v>
      </c>
      <c r="AH5" s="154">
        <v>0.8483063328424153</v>
      </c>
      <c r="AI5" s="14"/>
      <c r="AJ5" s="111"/>
      <c r="AK5" s="14"/>
      <c r="AL5" s="14"/>
    </row>
    <row r="6" spans="1:38" s="35" customFormat="1" ht="19.5" customHeight="1" hidden="1">
      <c r="A6" s="165"/>
      <c r="B6" s="6" t="s">
        <v>12</v>
      </c>
      <c r="C6" s="14">
        <v>13</v>
      </c>
      <c r="D6" s="14"/>
      <c r="E6" s="110"/>
      <c r="F6" s="14"/>
      <c r="G6" s="14"/>
      <c r="H6" s="14">
        <v>18</v>
      </c>
      <c r="I6" s="14"/>
      <c r="J6" s="111"/>
      <c r="K6" s="14"/>
      <c r="L6" s="14"/>
      <c r="M6" s="14">
        <v>10</v>
      </c>
      <c r="N6" s="14"/>
      <c r="O6" s="111"/>
      <c r="P6" s="14"/>
      <c r="Q6" s="14"/>
      <c r="R6" s="14">
        <v>14</v>
      </c>
      <c r="S6" s="14"/>
      <c r="T6" s="111"/>
      <c r="U6" s="14"/>
      <c r="V6" s="14"/>
      <c r="W6" s="14"/>
      <c r="X6" s="14"/>
      <c r="Y6" s="111"/>
      <c r="Z6" s="14"/>
      <c r="AA6" s="14"/>
      <c r="AB6" s="14"/>
      <c r="AC6" s="14"/>
      <c r="AD6" s="111"/>
      <c r="AE6" s="14"/>
      <c r="AF6" s="14"/>
      <c r="AG6" s="14"/>
      <c r="AH6" s="154"/>
      <c r="AI6" s="14"/>
      <c r="AJ6" s="111"/>
      <c r="AK6" s="14"/>
      <c r="AL6" s="14"/>
    </row>
    <row r="7" spans="1:38" s="35" customFormat="1" ht="19.5" customHeight="1" hidden="1">
      <c r="A7" s="165"/>
      <c r="B7" s="6" t="s">
        <v>13</v>
      </c>
      <c r="C7" s="14">
        <v>25</v>
      </c>
      <c r="D7" s="14"/>
      <c r="E7" s="110"/>
      <c r="F7" s="14"/>
      <c r="G7" s="14"/>
      <c r="H7" s="14">
        <v>32</v>
      </c>
      <c r="I7" s="14"/>
      <c r="J7" s="111"/>
      <c r="K7" s="14"/>
      <c r="L7" s="14"/>
      <c r="M7" s="14">
        <v>17</v>
      </c>
      <c r="N7" s="14"/>
      <c r="O7" s="111"/>
      <c r="P7" s="14"/>
      <c r="Q7" s="14"/>
      <c r="R7" s="14">
        <v>45</v>
      </c>
      <c r="S7" s="14"/>
      <c r="T7" s="111"/>
      <c r="U7" s="14"/>
      <c r="V7" s="14"/>
      <c r="W7" s="14"/>
      <c r="X7" s="14"/>
      <c r="Y7" s="111"/>
      <c r="Z7" s="14"/>
      <c r="AA7" s="14"/>
      <c r="AB7" s="14"/>
      <c r="AC7" s="14"/>
      <c r="AD7" s="111"/>
      <c r="AE7" s="14"/>
      <c r="AF7" s="14"/>
      <c r="AG7" s="14"/>
      <c r="AH7" s="154"/>
      <c r="AI7" s="14"/>
      <c r="AJ7" s="111"/>
      <c r="AK7" s="14"/>
      <c r="AL7" s="14"/>
    </row>
    <row r="8" spans="1:38" s="35" customFormat="1" ht="19.5" customHeight="1">
      <c r="A8" s="165"/>
      <c r="B8" s="6" t="s">
        <v>14</v>
      </c>
      <c r="C8" s="14">
        <v>20</v>
      </c>
      <c r="D8" s="14"/>
      <c r="E8" s="110"/>
      <c r="F8" s="14"/>
      <c r="G8" s="14"/>
      <c r="H8" s="14">
        <v>31</v>
      </c>
      <c r="I8" s="14"/>
      <c r="J8" s="111"/>
      <c r="K8" s="14"/>
      <c r="L8" s="14"/>
      <c r="M8" s="14">
        <v>25</v>
      </c>
      <c r="N8" s="14"/>
      <c r="O8" s="111"/>
      <c r="P8" s="14"/>
      <c r="Q8" s="14"/>
      <c r="R8" s="14">
        <v>33</v>
      </c>
      <c r="S8" s="14"/>
      <c r="T8" s="111"/>
      <c r="U8" s="14"/>
      <c r="V8" s="14"/>
      <c r="W8" s="14">
        <v>30</v>
      </c>
      <c r="X8" s="14"/>
      <c r="Y8" s="111"/>
      <c r="Z8" s="14"/>
      <c r="AA8" s="14"/>
      <c r="AB8" s="14"/>
      <c r="AC8" s="14">
        <v>6</v>
      </c>
      <c r="AD8" s="111"/>
      <c r="AE8" s="14"/>
      <c r="AF8" s="14"/>
      <c r="AG8" s="14">
        <v>13</v>
      </c>
      <c r="AH8" s="154">
        <v>1</v>
      </c>
      <c r="AI8" s="14"/>
      <c r="AJ8" s="111"/>
      <c r="AK8" s="14"/>
      <c r="AL8" s="14"/>
    </row>
    <row r="9" spans="1:38" s="35" customFormat="1" ht="19.5" customHeight="1" hidden="1">
      <c r="A9" s="165"/>
      <c r="B9" s="6" t="s">
        <v>15</v>
      </c>
      <c r="C9" s="14">
        <v>13</v>
      </c>
      <c r="D9" s="14"/>
      <c r="E9" s="110"/>
      <c r="F9" s="14"/>
      <c r="G9" s="14"/>
      <c r="H9" s="14">
        <v>14</v>
      </c>
      <c r="I9" s="14"/>
      <c r="J9" s="111"/>
      <c r="K9" s="14"/>
      <c r="L9" s="14"/>
      <c r="M9" s="14">
        <v>7</v>
      </c>
      <c r="N9" s="14"/>
      <c r="O9" s="111"/>
      <c r="P9" s="14"/>
      <c r="Q9" s="14"/>
      <c r="R9" s="14">
        <v>10</v>
      </c>
      <c r="S9" s="14"/>
      <c r="T9" s="111"/>
      <c r="U9" s="14"/>
      <c r="V9" s="14"/>
      <c r="W9" s="14"/>
      <c r="X9" s="14"/>
      <c r="Y9" s="111"/>
      <c r="Z9" s="14"/>
      <c r="AA9" s="14"/>
      <c r="AB9" s="14"/>
      <c r="AC9" s="14"/>
      <c r="AD9" s="111"/>
      <c r="AE9" s="14"/>
      <c r="AF9" s="14"/>
      <c r="AG9" s="14"/>
      <c r="AH9" s="154"/>
      <c r="AI9" s="14"/>
      <c r="AJ9" s="111"/>
      <c r="AK9" s="14"/>
      <c r="AL9" s="14"/>
    </row>
    <row r="10" spans="1:38" s="35" customFormat="1" ht="19.5" customHeight="1">
      <c r="A10" s="165"/>
      <c r="B10" s="6" t="s">
        <v>16</v>
      </c>
      <c r="C10" s="14">
        <v>12</v>
      </c>
      <c r="D10" s="14"/>
      <c r="E10" s="110"/>
      <c r="F10" s="14"/>
      <c r="G10" s="14"/>
      <c r="H10" s="14">
        <v>15</v>
      </c>
      <c r="I10" s="14"/>
      <c r="J10" s="111"/>
      <c r="K10" s="14"/>
      <c r="L10" s="14"/>
      <c r="M10" s="14">
        <v>22</v>
      </c>
      <c r="N10" s="14"/>
      <c r="O10" s="111"/>
      <c r="P10" s="14"/>
      <c r="Q10" s="14"/>
      <c r="R10" s="14">
        <v>73</v>
      </c>
      <c r="S10" s="14"/>
      <c r="T10" s="111"/>
      <c r="U10" s="14"/>
      <c r="V10" s="14"/>
      <c r="W10" s="14">
        <v>58</v>
      </c>
      <c r="X10" s="14"/>
      <c r="Y10" s="111"/>
      <c r="Z10" s="14"/>
      <c r="AA10" s="14"/>
      <c r="AB10" s="14"/>
      <c r="AC10" s="14">
        <v>50</v>
      </c>
      <c r="AD10" s="111"/>
      <c r="AE10" s="14"/>
      <c r="AF10" s="14"/>
      <c r="AG10" s="14">
        <v>60</v>
      </c>
      <c r="AH10" s="154">
        <v>0.9158</v>
      </c>
      <c r="AI10" s="14"/>
      <c r="AJ10" s="111"/>
      <c r="AK10" s="14"/>
      <c r="AL10" s="14"/>
    </row>
    <row r="11" spans="1:38" s="35" customFormat="1" ht="19.5" customHeight="1" hidden="1">
      <c r="A11" s="165"/>
      <c r="B11" s="6" t="s">
        <v>17</v>
      </c>
      <c r="C11" s="14">
        <v>9</v>
      </c>
      <c r="D11" s="14"/>
      <c r="E11" s="110"/>
      <c r="F11" s="14"/>
      <c r="G11" s="14"/>
      <c r="H11" s="14">
        <v>10</v>
      </c>
      <c r="I11" s="14"/>
      <c r="J11" s="111"/>
      <c r="K11" s="14"/>
      <c r="L11" s="14"/>
      <c r="M11" s="14">
        <v>11</v>
      </c>
      <c r="N11" s="14"/>
      <c r="O11" s="111"/>
      <c r="P11" s="14"/>
      <c r="Q11" s="14"/>
      <c r="R11" s="14">
        <v>12</v>
      </c>
      <c r="S11" s="14"/>
      <c r="T11" s="111"/>
      <c r="U11" s="14"/>
      <c r="V11" s="14"/>
      <c r="W11" s="14"/>
      <c r="X11" s="14"/>
      <c r="Y11" s="111"/>
      <c r="Z11" s="14"/>
      <c r="AA11" s="14"/>
      <c r="AB11" s="14"/>
      <c r="AC11" s="14"/>
      <c r="AD11" s="111"/>
      <c r="AE11" s="14"/>
      <c r="AF11" s="14"/>
      <c r="AG11" s="14"/>
      <c r="AH11" s="154"/>
      <c r="AI11" s="14"/>
      <c r="AJ11" s="111"/>
      <c r="AK11" s="14"/>
      <c r="AL11" s="14"/>
    </row>
    <row r="12" spans="1:38" s="35" customFormat="1" ht="19.5" customHeight="1">
      <c r="A12" s="165"/>
      <c r="B12" s="6" t="s">
        <v>90</v>
      </c>
      <c r="C12" s="14"/>
      <c r="D12" s="14"/>
      <c r="E12" s="110"/>
      <c r="F12" s="14"/>
      <c r="G12" s="14"/>
      <c r="H12" s="14"/>
      <c r="I12" s="14"/>
      <c r="J12" s="111"/>
      <c r="K12" s="14"/>
      <c r="L12" s="14"/>
      <c r="M12" s="14"/>
      <c r="N12" s="14"/>
      <c r="O12" s="111"/>
      <c r="P12" s="14"/>
      <c r="Q12" s="14"/>
      <c r="R12" s="14"/>
      <c r="S12" s="14"/>
      <c r="T12" s="111"/>
      <c r="U12" s="14"/>
      <c r="V12" s="14"/>
      <c r="W12" s="14">
        <v>93</v>
      </c>
      <c r="X12" s="14"/>
      <c r="Y12" s="111"/>
      <c r="Z12" s="14"/>
      <c r="AA12" s="14"/>
      <c r="AB12" s="14"/>
      <c r="AC12" s="14">
        <v>68</v>
      </c>
      <c r="AD12" s="111"/>
      <c r="AE12" s="14"/>
      <c r="AF12" s="14"/>
      <c r="AG12" s="14">
        <v>66</v>
      </c>
      <c r="AH12" s="154">
        <v>0.8944</v>
      </c>
      <c r="AI12" s="14"/>
      <c r="AJ12" s="111"/>
      <c r="AK12" s="14"/>
      <c r="AL12" s="14"/>
    </row>
    <row r="13" spans="1:38" s="35" customFormat="1" ht="19.5" customHeight="1">
      <c r="A13" s="165"/>
      <c r="B13" s="6" t="s">
        <v>18</v>
      </c>
      <c r="C13" s="14">
        <v>79</v>
      </c>
      <c r="D13" s="14"/>
      <c r="E13" s="110"/>
      <c r="F13" s="14"/>
      <c r="G13" s="14"/>
      <c r="H13" s="14">
        <v>50</v>
      </c>
      <c r="I13" s="14"/>
      <c r="J13" s="111"/>
      <c r="K13" s="14"/>
      <c r="L13" s="14"/>
      <c r="M13" s="14">
        <v>45</v>
      </c>
      <c r="N13" s="14"/>
      <c r="O13" s="111"/>
      <c r="P13" s="14"/>
      <c r="Q13" s="14"/>
      <c r="R13" s="14">
        <v>63</v>
      </c>
      <c r="S13" s="14"/>
      <c r="T13" s="111"/>
      <c r="U13" s="14"/>
      <c r="V13" s="14"/>
      <c r="W13" s="14">
        <v>57</v>
      </c>
      <c r="X13" s="14"/>
      <c r="Y13" s="111"/>
      <c r="Z13" s="14"/>
      <c r="AA13" s="14"/>
      <c r="AB13" s="14"/>
      <c r="AC13" s="14">
        <v>18</v>
      </c>
      <c r="AD13" s="111"/>
      <c r="AE13" s="14"/>
      <c r="AF13" s="14"/>
      <c r="AG13" s="14">
        <v>46</v>
      </c>
      <c r="AH13" s="154">
        <v>0.987</v>
      </c>
      <c r="AI13" s="14"/>
      <c r="AJ13" s="111"/>
      <c r="AK13" s="14"/>
      <c r="AL13" s="14"/>
    </row>
    <row r="14" spans="1:38" ht="18" customHeight="1">
      <c r="A14" s="165"/>
      <c r="B14" s="69" t="s">
        <v>19</v>
      </c>
      <c r="C14" s="44">
        <f>SUM(C4:C13)</f>
        <v>420</v>
      </c>
      <c r="D14" s="20"/>
      <c r="E14" s="48"/>
      <c r="F14" s="4"/>
      <c r="G14" s="4"/>
      <c r="H14" s="44">
        <f>SUM(H4:H13)</f>
        <v>410</v>
      </c>
      <c r="I14" s="20"/>
      <c r="J14" s="53"/>
      <c r="K14" s="2"/>
      <c r="L14" s="3"/>
      <c r="M14" s="44">
        <f>SUM(M4:M13)</f>
        <v>356</v>
      </c>
      <c r="N14" s="3"/>
      <c r="O14" s="53"/>
      <c r="P14" s="3"/>
      <c r="Q14" s="3"/>
      <c r="R14" s="44">
        <f>SUM(R4:R13)</f>
        <v>578</v>
      </c>
      <c r="S14" s="3"/>
      <c r="T14" s="53"/>
      <c r="U14" s="3"/>
      <c r="V14" s="3"/>
      <c r="W14" s="44">
        <f>SUM(W4:W13)</f>
        <v>519</v>
      </c>
      <c r="X14" s="3"/>
      <c r="Y14" s="53"/>
      <c r="Z14" s="3"/>
      <c r="AA14" s="3"/>
      <c r="AB14" s="44">
        <f>SUM(AB4:AB13)</f>
        <v>0</v>
      </c>
      <c r="AC14" s="44">
        <f>SUM(AC4:AC13)</f>
        <v>389</v>
      </c>
      <c r="AD14" s="53"/>
      <c r="AE14" s="3"/>
      <c r="AF14" s="3"/>
      <c r="AG14" s="44">
        <f>SUM(AG4:AG13)</f>
        <v>410</v>
      </c>
      <c r="AH14" s="155">
        <v>0.8757</v>
      </c>
      <c r="AI14" s="44">
        <f>SUM(AI4:AI13)</f>
        <v>0</v>
      </c>
      <c r="AJ14" s="53"/>
      <c r="AK14" s="3"/>
      <c r="AL14" s="3"/>
    </row>
    <row r="15" spans="1:38" ht="18" customHeight="1" hidden="1">
      <c r="A15" s="165" t="s">
        <v>68</v>
      </c>
      <c r="B15" s="6" t="s">
        <v>10</v>
      </c>
      <c r="C15" s="25">
        <v>5</v>
      </c>
      <c r="D15" s="54"/>
      <c r="E15" s="27">
        <f>20/C15</f>
        <v>4</v>
      </c>
      <c r="F15" s="28"/>
      <c r="G15" s="28"/>
      <c r="H15" s="25">
        <v>6</v>
      </c>
      <c r="I15" s="26"/>
      <c r="J15" s="66">
        <f>12/H15</f>
        <v>2</v>
      </c>
      <c r="K15" s="12"/>
      <c r="L15" s="9"/>
      <c r="M15" s="25">
        <v>6</v>
      </c>
      <c r="N15" s="26"/>
      <c r="O15" s="66">
        <f>36/M15</f>
        <v>6</v>
      </c>
      <c r="P15" s="12"/>
      <c r="Q15" s="9"/>
      <c r="R15" s="25">
        <v>3</v>
      </c>
      <c r="S15" s="26"/>
      <c r="T15" s="66">
        <v>5.333333333333333</v>
      </c>
      <c r="U15" s="12"/>
      <c r="V15" s="9"/>
      <c r="W15" s="25"/>
      <c r="X15" s="26"/>
      <c r="Y15" s="66"/>
      <c r="Z15" s="12"/>
      <c r="AA15" s="9"/>
      <c r="AB15" s="25"/>
      <c r="AC15" s="26"/>
      <c r="AD15" s="66"/>
      <c r="AE15" s="12"/>
      <c r="AF15" s="9"/>
      <c r="AG15" s="25"/>
      <c r="AH15" s="25"/>
      <c r="AI15" s="26"/>
      <c r="AJ15" s="66"/>
      <c r="AK15" s="12"/>
      <c r="AL15" s="9"/>
    </row>
    <row r="16" spans="1:38" ht="18" customHeight="1">
      <c r="A16" s="165"/>
      <c r="B16" s="6" t="s">
        <v>11</v>
      </c>
      <c r="C16" s="25">
        <v>75</v>
      </c>
      <c r="D16" s="54"/>
      <c r="E16" s="79">
        <f>946/C16</f>
        <v>12.613333333333333</v>
      </c>
      <c r="F16" s="28"/>
      <c r="G16" s="28"/>
      <c r="H16" s="25">
        <v>207</v>
      </c>
      <c r="I16" s="26"/>
      <c r="J16" s="66">
        <f>176/H16</f>
        <v>0.8502415458937198</v>
      </c>
      <c r="K16" s="12"/>
      <c r="L16" s="9"/>
      <c r="M16" s="25">
        <v>105</v>
      </c>
      <c r="N16" s="26"/>
      <c r="O16" s="66">
        <f>140/M16</f>
        <v>1.3333333333333333</v>
      </c>
      <c r="P16" s="12"/>
      <c r="Q16" s="9"/>
      <c r="R16" s="25">
        <v>73</v>
      </c>
      <c r="S16" s="26"/>
      <c r="T16" s="66">
        <v>1.917808219178082</v>
      </c>
      <c r="U16" s="12"/>
      <c r="V16" s="9"/>
      <c r="W16" s="25">
        <v>20</v>
      </c>
      <c r="X16" s="26"/>
      <c r="Y16" s="66">
        <v>6.9</v>
      </c>
      <c r="Z16" s="12"/>
      <c r="AA16" s="9"/>
      <c r="AB16" s="25"/>
      <c r="AC16" s="26"/>
      <c r="AD16" s="66"/>
      <c r="AE16" s="12"/>
      <c r="AF16" s="9"/>
      <c r="AG16" s="25"/>
      <c r="AH16" s="25"/>
      <c r="AI16" s="26"/>
      <c r="AJ16" s="66"/>
      <c r="AK16" s="12"/>
      <c r="AL16" s="9"/>
    </row>
    <row r="17" spans="1:38" ht="18" customHeight="1" hidden="1">
      <c r="A17" s="165"/>
      <c r="B17" s="6" t="s">
        <v>12</v>
      </c>
      <c r="C17" s="25">
        <v>8</v>
      </c>
      <c r="D17" s="54"/>
      <c r="E17" s="27">
        <f>40/C17</f>
        <v>5</v>
      </c>
      <c r="F17" s="28"/>
      <c r="G17" s="28"/>
      <c r="H17" s="25">
        <v>8</v>
      </c>
      <c r="I17" s="26"/>
      <c r="J17" s="66">
        <f>32/H17</f>
        <v>4</v>
      </c>
      <c r="K17" s="13"/>
      <c r="L17" s="9"/>
      <c r="M17" s="25">
        <v>10</v>
      </c>
      <c r="N17" s="26"/>
      <c r="O17" s="66">
        <f>50/M17</f>
        <v>5</v>
      </c>
      <c r="P17" s="13"/>
      <c r="Q17" s="9"/>
      <c r="R17" s="25">
        <v>7</v>
      </c>
      <c r="S17" s="26"/>
      <c r="T17" s="66">
        <v>2.4285714285714284</v>
      </c>
      <c r="U17" s="13"/>
      <c r="V17" s="9"/>
      <c r="W17" s="25"/>
      <c r="X17" s="26"/>
      <c r="Y17" s="66"/>
      <c r="Z17" s="13"/>
      <c r="AA17" s="9"/>
      <c r="AB17" s="25"/>
      <c r="AC17" s="26"/>
      <c r="AD17" s="66"/>
      <c r="AE17" s="13"/>
      <c r="AF17" s="9"/>
      <c r="AG17" s="25"/>
      <c r="AH17" s="25"/>
      <c r="AI17" s="26"/>
      <c r="AJ17" s="66"/>
      <c r="AK17" s="13"/>
      <c r="AL17" s="9"/>
    </row>
    <row r="18" spans="1:38" ht="18" customHeight="1" hidden="1">
      <c r="A18" s="165"/>
      <c r="B18" s="6" t="s">
        <v>13</v>
      </c>
      <c r="C18" s="25">
        <v>30</v>
      </c>
      <c r="D18" s="54"/>
      <c r="E18" s="27">
        <f>90/C18</f>
        <v>3</v>
      </c>
      <c r="F18" s="28"/>
      <c r="G18" s="28"/>
      <c r="H18" s="25">
        <v>9</v>
      </c>
      <c r="I18" s="26"/>
      <c r="J18" s="66">
        <f>39/H18</f>
        <v>4.333333333333333</v>
      </c>
      <c r="K18" s="12"/>
      <c r="L18" s="9"/>
      <c r="M18" s="25">
        <v>19</v>
      </c>
      <c r="N18" s="26"/>
      <c r="O18" s="66">
        <f>119/M18</f>
        <v>6.2631578947368425</v>
      </c>
      <c r="P18" s="12"/>
      <c r="Q18" s="9"/>
      <c r="R18" s="25">
        <v>15</v>
      </c>
      <c r="S18" s="26"/>
      <c r="T18" s="66">
        <v>8.066666666666666</v>
      </c>
      <c r="U18" s="12"/>
      <c r="V18" s="9"/>
      <c r="W18" s="25"/>
      <c r="X18" s="26"/>
      <c r="Y18" s="66"/>
      <c r="Z18" s="12"/>
      <c r="AA18" s="9"/>
      <c r="AB18" s="25"/>
      <c r="AC18" s="26"/>
      <c r="AD18" s="66"/>
      <c r="AE18" s="12"/>
      <c r="AF18" s="9"/>
      <c r="AG18" s="25"/>
      <c r="AH18" s="25"/>
      <c r="AI18" s="26"/>
      <c r="AJ18" s="66"/>
      <c r="AK18" s="12"/>
      <c r="AL18" s="9"/>
    </row>
    <row r="19" spans="1:38" ht="18" customHeight="1">
      <c r="A19" s="165"/>
      <c r="B19" s="6" t="s">
        <v>14</v>
      </c>
      <c r="C19" s="25">
        <v>7</v>
      </c>
      <c r="D19" s="54"/>
      <c r="E19" s="27">
        <f>28/C19</f>
        <v>4</v>
      </c>
      <c r="F19" s="28"/>
      <c r="G19" s="28"/>
      <c r="H19" s="25">
        <v>4</v>
      </c>
      <c r="I19" s="26"/>
      <c r="J19" s="66">
        <f>11/H19</f>
        <v>2.75</v>
      </c>
      <c r="K19" s="12"/>
      <c r="L19" s="9"/>
      <c r="M19" s="25">
        <v>7</v>
      </c>
      <c r="N19" s="26"/>
      <c r="O19" s="66">
        <f>35/M19</f>
        <v>5</v>
      </c>
      <c r="P19" s="12"/>
      <c r="Q19" s="9"/>
      <c r="R19" s="25">
        <v>7</v>
      </c>
      <c r="S19" s="26"/>
      <c r="T19" s="66">
        <v>5</v>
      </c>
      <c r="U19" s="12"/>
      <c r="V19" s="9"/>
      <c r="W19" s="25">
        <v>6</v>
      </c>
      <c r="X19" s="26"/>
      <c r="Y19" s="66">
        <v>4.333333333333333</v>
      </c>
      <c r="Z19" s="12"/>
      <c r="AA19" s="9"/>
      <c r="AB19" s="25"/>
      <c r="AC19" s="26"/>
      <c r="AD19" s="66"/>
      <c r="AE19" s="12"/>
      <c r="AF19" s="9"/>
      <c r="AG19" s="25"/>
      <c r="AH19" s="25"/>
      <c r="AI19" s="26"/>
      <c r="AJ19" s="66"/>
      <c r="AK19" s="12"/>
      <c r="AL19" s="9"/>
    </row>
    <row r="20" spans="1:38" ht="18" customHeight="1" hidden="1">
      <c r="A20" s="165"/>
      <c r="B20" s="6" t="s">
        <v>15</v>
      </c>
      <c r="C20" s="25">
        <v>10</v>
      </c>
      <c r="D20" s="54"/>
      <c r="E20" s="27">
        <f>45/C20</f>
        <v>4.5</v>
      </c>
      <c r="F20" s="28"/>
      <c r="G20" s="28"/>
      <c r="H20" s="25">
        <v>5</v>
      </c>
      <c r="I20" s="26"/>
      <c r="J20" s="66">
        <f>8/H20</f>
        <v>1.6</v>
      </c>
      <c r="K20" s="12"/>
      <c r="L20" s="134"/>
      <c r="M20" s="25">
        <v>4</v>
      </c>
      <c r="N20" s="26"/>
      <c r="O20" s="66">
        <f>16/M20</f>
        <v>4</v>
      </c>
      <c r="P20" s="12"/>
      <c r="Q20" s="134"/>
      <c r="R20" s="25">
        <v>4</v>
      </c>
      <c r="S20" s="26"/>
      <c r="T20" s="66">
        <v>5</v>
      </c>
      <c r="U20" s="12"/>
      <c r="V20" s="134"/>
      <c r="W20" s="25"/>
      <c r="X20" s="26"/>
      <c r="Y20" s="66"/>
      <c r="Z20" s="12"/>
      <c r="AA20" s="134"/>
      <c r="AB20" s="25"/>
      <c r="AC20" s="26"/>
      <c r="AD20" s="66"/>
      <c r="AE20" s="12"/>
      <c r="AF20" s="134"/>
      <c r="AG20" s="25"/>
      <c r="AH20" s="25"/>
      <c r="AI20" s="26"/>
      <c r="AJ20" s="66"/>
      <c r="AK20" s="12"/>
      <c r="AL20" s="134"/>
    </row>
    <row r="21" spans="1:38" ht="18" customHeight="1">
      <c r="A21" s="165"/>
      <c r="B21" s="6" t="s">
        <v>16</v>
      </c>
      <c r="C21" s="25">
        <v>9</v>
      </c>
      <c r="D21" s="54"/>
      <c r="E21" s="27">
        <f>30/C21</f>
        <v>3.3333333333333335</v>
      </c>
      <c r="F21" s="28"/>
      <c r="G21" s="28"/>
      <c r="H21" s="25">
        <v>3</v>
      </c>
      <c r="I21" s="26"/>
      <c r="J21" s="66">
        <f>44/H21</f>
        <v>14.666666666666666</v>
      </c>
      <c r="K21" s="12"/>
      <c r="L21" s="9"/>
      <c r="M21" s="25">
        <v>5</v>
      </c>
      <c r="N21" s="26"/>
      <c r="O21" s="66">
        <f>27/M21</f>
        <v>5.4</v>
      </c>
      <c r="P21" s="12"/>
      <c r="Q21" s="9"/>
      <c r="R21" s="25">
        <v>5</v>
      </c>
      <c r="S21" s="26"/>
      <c r="T21" s="66">
        <v>2</v>
      </c>
      <c r="U21" s="12"/>
      <c r="V21" s="9"/>
      <c r="W21" s="25">
        <v>2</v>
      </c>
      <c r="X21" s="26"/>
      <c r="Y21" s="86">
        <v>24</v>
      </c>
      <c r="Z21" s="12"/>
      <c r="AA21" s="9"/>
      <c r="AB21" s="25"/>
      <c r="AC21" s="26"/>
      <c r="AD21" s="86"/>
      <c r="AE21" s="12"/>
      <c r="AF21" s="9"/>
      <c r="AG21" s="25"/>
      <c r="AH21" s="25"/>
      <c r="AI21" s="26"/>
      <c r="AJ21" s="86"/>
      <c r="AK21" s="12"/>
      <c r="AL21" s="9"/>
    </row>
    <row r="22" spans="1:38" ht="18" customHeight="1" hidden="1">
      <c r="A22" s="165"/>
      <c r="B22" s="6" t="s">
        <v>17</v>
      </c>
      <c r="C22" s="25">
        <v>5</v>
      </c>
      <c r="D22" s="54"/>
      <c r="E22" s="27">
        <f>25/C22</f>
        <v>5</v>
      </c>
      <c r="F22" s="28"/>
      <c r="G22" s="28"/>
      <c r="H22" s="25">
        <v>1</v>
      </c>
      <c r="I22" s="26"/>
      <c r="J22" s="66">
        <f>6/H22</f>
        <v>6</v>
      </c>
      <c r="K22" s="12"/>
      <c r="L22" s="9"/>
      <c r="M22" s="25">
        <v>2</v>
      </c>
      <c r="N22" s="26"/>
      <c r="O22" s="66">
        <f>11/M22</f>
        <v>5.5</v>
      </c>
      <c r="P22" s="12"/>
      <c r="Q22" s="9"/>
      <c r="R22" s="25">
        <v>2</v>
      </c>
      <c r="S22" s="26"/>
      <c r="T22" s="66">
        <v>5.5</v>
      </c>
      <c r="U22" s="12"/>
      <c r="V22" s="9"/>
      <c r="W22" s="25"/>
      <c r="X22" s="26"/>
      <c r="Y22" s="66"/>
      <c r="Z22" s="12"/>
      <c r="AA22" s="9"/>
      <c r="AB22" s="25"/>
      <c r="AC22" s="26"/>
      <c r="AD22" s="66"/>
      <c r="AE22" s="12"/>
      <c r="AF22" s="9"/>
      <c r="AG22" s="25"/>
      <c r="AH22" s="25"/>
      <c r="AI22" s="26"/>
      <c r="AJ22" s="66"/>
      <c r="AK22" s="12"/>
      <c r="AL22" s="9"/>
    </row>
    <row r="23" spans="1:38" ht="18" customHeight="1">
      <c r="A23" s="165"/>
      <c r="B23" s="6" t="s">
        <v>90</v>
      </c>
      <c r="C23" s="25"/>
      <c r="D23" s="54"/>
      <c r="E23" s="27"/>
      <c r="F23" s="28"/>
      <c r="G23" s="28"/>
      <c r="H23" s="25"/>
      <c r="I23" s="26"/>
      <c r="J23" s="66"/>
      <c r="K23" s="12"/>
      <c r="L23" s="9"/>
      <c r="M23" s="25"/>
      <c r="N23" s="26"/>
      <c r="O23" s="66"/>
      <c r="P23" s="12"/>
      <c r="Q23" s="9"/>
      <c r="R23" s="25"/>
      <c r="S23" s="26"/>
      <c r="T23" s="66"/>
      <c r="U23" s="12"/>
      <c r="V23" s="9"/>
      <c r="W23" s="25">
        <v>38</v>
      </c>
      <c r="X23" s="26"/>
      <c r="Y23" s="66">
        <v>6.7368421052631575</v>
      </c>
      <c r="Z23" s="12"/>
      <c r="AA23" s="9"/>
      <c r="AB23" s="25"/>
      <c r="AC23" s="26"/>
      <c r="AD23" s="66"/>
      <c r="AE23" s="12"/>
      <c r="AF23" s="9"/>
      <c r="AG23" s="25"/>
      <c r="AH23" s="25"/>
      <c r="AI23" s="26"/>
      <c r="AJ23" s="66"/>
      <c r="AK23" s="12"/>
      <c r="AL23" s="9"/>
    </row>
    <row r="24" spans="1:38" ht="18" customHeight="1">
      <c r="A24" s="165"/>
      <c r="B24" s="6" t="s">
        <v>18</v>
      </c>
      <c r="C24" s="25">
        <v>16</v>
      </c>
      <c r="D24" s="54"/>
      <c r="E24" s="27">
        <f>40/C24</f>
        <v>2.5</v>
      </c>
      <c r="F24" s="28"/>
      <c r="G24" s="28"/>
      <c r="H24" s="25">
        <v>7</v>
      </c>
      <c r="I24" s="26"/>
      <c r="J24" s="66">
        <f>41/H24</f>
        <v>5.857142857142857</v>
      </c>
      <c r="K24" s="12"/>
      <c r="L24" s="9"/>
      <c r="M24" s="25">
        <v>5</v>
      </c>
      <c r="N24" s="26"/>
      <c r="O24" s="66">
        <f>49/M24</f>
        <v>9.8</v>
      </c>
      <c r="P24" s="12"/>
      <c r="Q24" s="9"/>
      <c r="R24" s="25">
        <v>7</v>
      </c>
      <c r="S24" s="26"/>
      <c r="T24" s="66">
        <v>7.714285714285714</v>
      </c>
      <c r="U24" s="12"/>
      <c r="V24" s="9"/>
      <c r="W24" s="25">
        <v>5</v>
      </c>
      <c r="X24" s="26"/>
      <c r="Y24" s="66">
        <v>5.6</v>
      </c>
      <c r="Z24" s="12"/>
      <c r="AA24" s="9"/>
      <c r="AB24" s="25"/>
      <c r="AC24" s="26"/>
      <c r="AD24" s="66"/>
      <c r="AE24" s="12"/>
      <c r="AF24" s="9"/>
      <c r="AG24" s="25"/>
      <c r="AH24" s="25"/>
      <c r="AI24" s="26"/>
      <c r="AJ24" s="66"/>
      <c r="AK24" s="12"/>
      <c r="AL24" s="9"/>
    </row>
    <row r="25" spans="1:38" ht="18" customHeight="1">
      <c r="A25" s="165"/>
      <c r="B25" s="69" t="s">
        <v>19</v>
      </c>
      <c r="C25" s="128">
        <f>SUM(C15:C24)</f>
        <v>165</v>
      </c>
      <c r="D25" s="3"/>
      <c r="E25" s="48">
        <v>1.896969696969697</v>
      </c>
      <c r="F25" s="4"/>
      <c r="G25" s="4"/>
      <c r="H25" s="128">
        <f>SUM(H15:H24)</f>
        <v>250</v>
      </c>
      <c r="I25" s="3"/>
      <c r="J25" s="48">
        <v>1.48</v>
      </c>
      <c r="K25" s="2"/>
      <c r="L25" s="3"/>
      <c r="M25" s="128">
        <f>SUM(M15:M24)</f>
        <v>163</v>
      </c>
      <c r="N25" s="3"/>
      <c r="O25" s="48">
        <f>483/M25</f>
        <v>2.96319018404908</v>
      </c>
      <c r="P25" s="2"/>
      <c r="Q25" s="3"/>
      <c r="R25" s="128">
        <f>SUM(R15:R24)</f>
        <v>123</v>
      </c>
      <c r="S25" s="3"/>
      <c r="T25" s="48">
        <f>424/R25</f>
        <v>3.4471544715447155</v>
      </c>
      <c r="U25" s="2"/>
      <c r="V25" s="3"/>
      <c r="W25" s="128">
        <f>SUM(W15:W24)</f>
        <v>71</v>
      </c>
      <c r="X25" s="3"/>
      <c r="Y25" s="48">
        <f>496/W25</f>
        <v>6.985915492957746</v>
      </c>
      <c r="Z25" s="2"/>
      <c r="AA25" s="3"/>
      <c r="AB25" s="128">
        <f>SUM(AB15:AB24)</f>
        <v>0</v>
      </c>
      <c r="AC25" s="3">
        <v>0</v>
      </c>
      <c r="AD25" s="48"/>
      <c r="AE25" s="2"/>
      <c r="AF25" s="3"/>
      <c r="AG25" s="128">
        <f>SUM(AG15:AG24)</f>
        <v>0</v>
      </c>
      <c r="AH25" s="128"/>
      <c r="AI25" s="3">
        <v>0</v>
      </c>
      <c r="AJ25" s="48"/>
      <c r="AK25" s="2"/>
      <c r="AL25" s="3"/>
    </row>
    <row r="26" spans="1:38" ht="18" customHeight="1" hidden="1">
      <c r="A26" s="165" t="s">
        <v>52</v>
      </c>
      <c r="B26" s="6" t="s">
        <v>10</v>
      </c>
      <c r="C26" s="25">
        <v>24</v>
      </c>
      <c r="D26" s="54"/>
      <c r="E26" s="27">
        <f>75/C26</f>
        <v>3.125</v>
      </c>
      <c r="F26" s="28"/>
      <c r="G26" s="28"/>
      <c r="H26" s="25">
        <v>26</v>
      </c>
      <c r="I26" s="54"/>
      <c r="J26" s="86">
        <f>75/H26</f>
        <v>2.8846153846153846</v>
      </c>
      <c r="K26" s="12"/>
      <c r="L26" s="9"/>
      <c r="M26" s="25">
        <v>10</v>
      </c>
      <c r="N26" s="119"/>
      <c r="O26" s="86">
        <f>57/M26</f>
        <v>5.7</v>
      </c>
      <c r="P26" s="12"/>
      <c r="Q26" s="9"/>
      <c r="R26" s="25">
        <v>6</v>
      </c>
      <c r="S26" s="54"/>
      <c r="T26" s="86">
        <f>75/R26</f>
        <v>12.5</v>
      </c>
      <c r="U26" s="12"/>
      <c r="V26" s="9"/>
      <c r="W26" s="25"/>
      <c r="X26" s="54"/>
      <c r="Y26" s="86"/>
      <c r="Z26" s="12"/>
      <c r="AA26" s="9"/>
      <c r="AB26" s="25"/>
      <c r="AC26" s="54"/>
      <c r="AD26" s="86"/>
      <c r="AE26" s="12"/>
      <c r="AF26" s="9"/>
      <c r="AG26" s="25"/>
      <c r="AH26" s="25"/>
      <c r="AI26" s="54"/>
      <c r="AJ26" s="86"/>
      <c r="AK26" s="12"/>
      <c r="AL26" s="9"/>
    </row>
    <row r="27" spans="1:38" ht="18" customHeight="1">
      <c r="A27" s="165"/>
      <c r="B27" s="6" t="s">
        <v>11</v>
      </c>
      <c r="C27" s="25">
        <v>31</v>
      </c>
      <c r="D27" s="54"/>
      <c r="E27" s="27">
        <f>38/C27</f>
        <v>1.2258064516129032</v>
      </c>
      <c r="F27" s="28"/>
      <c r="G27" s="28"/>
      <c r="H27" s="25">
        <v>55</v>
      </c>
      <c r="I27" s="54"/>
      <c r="J27" s="86">
        <f>75/H27</f>
        <v>1.3636363636363635</v>
      </c>
      <c r="K27" s="12"/>
      <c r="L27" s="9"/>
      <c r="M27" s="25">
        <v>18</v>
      </c>
      <c r="N27" s="119"/>
      <c r="O27" s="86">
        <f>57/M27</f>
        <v>3.1666666666666665</v>
      </c>
      <c r="P27" s="12"/>
      <c r="Q27" s="9"/>
      <c r="R27" s="25">
        <v>24</v>
      </c>
      <c r="S27" s="54"/>
      <c r="T27" s="86">
        <f>75/R27</f>
        <v>3.125</v>
      </c>
      <c r="U27" s="12"/>
      <c r="V27" s="9"/>
      <c r="W27" s="25">
        <v>10</v>
      </c>
      <c r="X27" s="54"/>
      <c r="Y27" s="86">
        <f>75/W27</f>
        <v>7.5</v>
      </c>
      <c r="Z27" s="12"/>
      <c r="AA27" s="9"/>
      <c r="AB27" s="25">
        <v>0</v>
      </c>
      <c r="AC27" s="54"/>
      <c r="AD27" s="86">
        <v>0</v>
      </c>
      <c r="AE27" s="12"/>
      <c r="AF27" s="9"/>
      <c r="AG27" s="25">
        <v>4</v>
      </c>
      <c r="AH27" s="25"/>
      <c r="AI27" s="54"/>
      <c r="AJ27" s="86">
        <f>45/AG27</f>
        <v>11.25</v>
      </c>
      <c r="AK27" s="12"/>
      <c r="AL27" s="9"/>
    </row>
    <row r="28" spans="1:38" ht="18" customHeight="1" hidden="1">
      <c r="A28" s="165"/>
      <c r="B28" s="6" t="s">
        <v>12</v>
      </c>
      <c r="C28" s="25">
        <v>17</v>
      </c>
      <c r="D28" s="54"/>
      <c r="E28" s="27">
        <f>75/C28</f>
        <v>4.411764705882353</v>
      </c>
      <c r="F28" s="28"/>
      <c r="G28" s="28"/>
      <c r="H28" s="25">
        <v>16</v>
      </c>
      <c r="I28" s="54"/>
      <c r="J28" s="86">
        <f>76/H28</f>
        <v>4.75</v>
      </c>
      <c r="K28" s="13"/>
      <c r="L28" s="9"/>
      <c r="M28" s="25">
        <v>12</v>
      </c>
      <c r="N28" s="119"/>
      <c r="O28" s="86">
        <f>57/M28</f>
        <v>4.75</v>
      </c>
      <c r="P28" s="13"/>
      <c r="Q28" s="9"/>
      <c r="R28" s="25">
        <v>16</v>
      </c>
      <c r="S28" s="54"/>
      <c r="T28" s="86">
        <f>57/R28</f>
        <v>3.5625</v>
      </c>
      <c r="U28" s="13"/>
      <c r="V28" s="9"/>
      <c r="W28" s="25"/>
      <c r="X28" s="54"/>
      <c r="Y28" s="86"/>
      <c r="Z28" s="13"/>
      <c r="AA28" s="9"/>
      <c r="AB28" s="25"/>
      <c r="AC28" s="54"/>
      <c r="AD28" s="86"/>
      <c r="AE28" s="13"/>
      <c r="AF28" s="9"/>
      <c r="AG28" s="25"/>
      <c r="AH28" s="25"/>
      <c r="AI28" s="54"/>
      <c r="AJ28" s="86"/>
      <c r="AK28" s="13"/>
      <c r="AL28" s="9"/>
    </row>
    <row r="29" spans="1:38" ht="18" customHeight="1" hidden="1">
      <c r="A29" s="165"/>
      <c r="B29" s="6" t="s">
        <v>13</v>
      </c>
      <c r="C29" s="25">
        <v>19</v>
      </c>
      <c r="D29" s="54"/>
      <c r="E29" s="27">
        <f>75/C29</f>
        <v>3.9473684210526314</v>
      </c>
      <c r="F29" s="28"/>
      <c r="G29" s="28"/>
      <c r="H29" s="25">
        <v>26</v>
      </c>
      <c r="I29" s="54"/>
      <c r="J29" s="86">
        <f>75/H29</f>
        <v>2.8846153846153846</v>
      </c>
      <c r="K29" s="12"/>
      <c r="L29" s="9"/>
      <c r="M29" s="25">
        <v>7</v>
      </c>
      <c r="N29" s="119"/>
      <c r="O29" s="86">
        <f>57/M29</f>
        <v>8.142857142857142</v>
      </c>
      <c r="P29" s="12"/>
      <c r="Q29" s="9"/>
      <c r="R29" s="25">
        <v>12</v>
      </c>
      <c r="S29" s="54"/>
      <c r="T29" s="86">
        <f>57/R29</f>
        <v>4.75</v>
      </c>
      <c r="U29" s="12"/>
      <c r="V29" s="9"/>
      <c r="W29" s="25"/>
      <c r="X29" s="54"/>
      <c r="Y29" s="86"/>
      <c r="Z29" s="12"/>
      <c r="AA29" s="9"/>
      <c r="AB29" s="25"/>
      <c r="AC29" s="54"/>
      <c r="AD29" s="86"/>
      <c r="AE29" s="12"/>
      <c r="AF29" s="9"/>
      <c r="AG29" s="25"/>
      <c r="AH29" s="25"/>
      <c r="AI29" s="54"/>
      <c r="AJ29" s="86"/>
      <c r="AK29" s="12"/>
      <c r="AL29" s="9"/>
    </row>
    <row r="30" spans="1:38" ht="18" customHeight="1">
      <c r="A30" s="165"/>
      <c r="B30" s="6" t="s">
        <v>14</v>
      </c>
      <c r="C30" s="25">
        <v>19</v>
      </c>
      <c r="D30" s="54"/>
      <c r="E30" s="27">
        <f>75/C30</f>
        <v>3.9473684210526314</v>
      </c>
      <c r="F30" s="28"/>
      <c r="G30" s="28"/>
      <c r="H30" s="25">
        <v>43</v>
      </c>
      <c r="I30" s="54"/>
      <c r="J30" s="86">
        <f>75/H30</f>
        <v>1.744186046511628</v>
      </c>
      <c r="K30" s="12"/>
      <c r="L30" s="9"/>
      <c r="M30" s="25">
        <v>35</v>
      </c>
      <c r="N30" s="119"/>
      <c r="O30" s="86">
        <f>75/M30</f>
        <v>2.142857142857143</v>
      </c>
      <c r="P30" s="12"/>
      <c r="Q30" s="9"/>
      <c r="R30" s="25">
        <v>36</v>
      </c>
      <c r="S30" s="54"/>
      <c r="T30" s="86">
        <f>75/R30</f>
        <v>2.0833333333333335</v>
      </c>
      <c r="U30" s="12"/>
      <c r="V30" s="9"/>
      <c r="W30" s="25">
        <v>28</v>
      </c>
      <c r="X30" s="54"/>
      <c r="Y30" s="86">
        <f>75/W30</f>
        <v>2.6785714285714284</v>
      </c>
      <c r="Z30" s="12"/>
      <c r="AA30" s="9"/>
      <c r="AB30" s="25">
        <v>21</v>
      </c>
      <c r="AC30" s="54"/>
      <c r="AD30" s="86">
        <f>75/AB30</f>
        <v>3.5714285714285716</v>
      </c>
      <c r="AE30" s="12"/>
      <c r="AF30" s="9"/>
      <c r="AG30" s="25">
        <v>20</v>
      </c>
      <c r="AH30" s="25"/>
      <c r="AI30" s="54"/>
      <c r="AJ30" s="86">
        <f>369/AG30</f>
        <v>18.45</v>
      </c>
      <c r="AK30" s="12"/>
      <c r="AL30" s="9"/>
    </row>
    <row r="31" spans="1:38" ht="18" customHeight="1" hidden="1">
      <c r="A31" s="165"/>
      <c r="B31" s="6" t="s">
        <v>15</v>
      </c>
      <c r="C31" s="25">
        <v>14</v>
      </c>
      <c r="D31" s="54"/>
      <c r="E31" s="27">
        <f>60/C31</f>
        <v>4.285714285714286</v>
      </c>
      <c r="F31" s="28"/>
      <c r="G31" s="28"/>
      <c r="H31" s="25">
        <v>30</v>
      </c>
      <c r="I31" s="54"/>
      <c r="J31" s="86">
        <f>75/H31</f>
        <v>2.5</v>
      </c>
      <c r="K31" s="12"/>
      <c r="L31" s="134"/>
      <c r="M31" s="25">
        <v>29</v>
      </c>
      <c r="N31" s="119"/>
      <c r="O31" s="86">
        <f>57/M31</f>
        <v>1.9655172413793103</v>
      </c>
      <c r="P31" s="12"/>
      <c r="Q31" s="134"/>
      <c r="R31" s="25">
        <v>26</v>
      </c>
      <c r="S31" s="54"/>
      <c r="T31" s="86">
        <f>69/R31</f>
        <v>2.6538461538461537</v>
      </c>
      <c r="U31" s="12"/>
      <c r="V31" s="134"/>
      <c r="W31" s="25"/>
      <c r="X31" s="54"/>
      <c r="Y31" s="86"/>
      <c r="Z31" s="12"/>
      <c r="AA31" s="134"/>
      <c r="AB31" s="25"/>
      <c r="AC31" s="54"/>
      <c r="AD31" s="86"/>
      <c r="AE31" s="12"/>
      <c r="AF31" s="134"/>
      <c r="AG31" s="25"/>
      <c r="AH31" s="25"/>
      <c r="AI31" s="54"/>
      <c r="AJ31" s="86"/>
      <c r="AK31" s="12"/>
      <c r="AL31" s="134"/>
    </row>
    <row r="32" spans="1:38" ht="18" customHeight="1">
      <c r="A32" s="165"/>
      <c r="B32" s="6" t="s">
        <v>16</v>
      </c>
      <c r="C32" s="25">
        <v>29</v>
      </c>
      <c r="D32" s="54"/>
      <c r="E32" s="27">
        <f>150/C32</f>
        <v>5.172413793103448</v>
      </c>
      <c r="F32" s="28"/>
      <c r="G32" s="28"/>
      <c r="H32" s="25">
        <v>42</v>
      </c>
      <c r="I32" s="54"/>
      <c r="J32" s="86">
        <f>150/H32</f>
        <v>3.5714285714285716</v>
      </c>
      <c r="K32" s="12"/>
      <c r="L32" s="9"/>
      <c r="M32" s="25">
        <v>26</v>
      </c>
      <c r="N32" s="119"/>
      <c r="O32" s="86">
        <f>75/M32</f>
        <v>2.8846153846153846</v>
      </c>
      <c r="P32" s="12"/>
      <c r="Q32" s="9"/>
      <c r="R32" s="25">
        <v>23</v>
      </c>
      <c r="S32" s="54"/>
      <c r="T32" s="86">
        <f>75/R32</f>
        <v>3.260869565217391</v>
      </c>
      <c r="U32" s="12"/>
      <c r="V32" s="9"/>
      <c r="W32" s="25">
        <v>3</v>
      </c>
      <c r="X32" s="54"/>
      <c r="Y32" s="86">
        <f>75/W32</f>
        <v>25</v>
      </c>
      <c r="Z32" s="12"/>
      <c r="AA32" s="9"/>
      <c r="AB32" s="25">
        <v>0</v>
      </c>
      <c r="AC32" s="54"/>
      <c r="AD32" s="86">
        <v>0</v>
      </c>
      <c r="AE32" s="12"/>
      <c r="AF32" s="9"/>
      <c r="AG32" s="25">
        <v>1</v>
      </c>
      <c r="AH32" s="25"/>
      <c r="AI32" s="54"/>
      <c r="AJ32" s="86">
        <v>24</v>
      </c>
      <c r="AK32" s="12"/>
      <c r="AL32" s="9"/>
    </row>
    <row r="33" spans="1:38" ht="18" customHeight="1" hidden="1">
      <c r="A33" s="165"/>
      <c r="B33" s="6" t="s">
        <v>17</v>
      </c>
      <c r="C33" s="25">
        <v>10</v>
      </c>
      <c r="D33" s="54"/>
      <c r="E33" s="27">
        <f>75/C33</f>
        <v>7.5</v>
      </c>
      <c r="F33" s="28"/>
      <c r="G33" s="28"/>
      <c r="H33" s="25">
        <v>17</v>
      </c>
      <c r="I33" s="54"/>
      <c r="J33" s="86">
        <f>75/H33</f>
        <v>4.411764705882353</v>
      </c>
      <c r="K33" s="12"/>
      <c r="L33" s="9"/>
      <c r="M33" s="25">
        <v>8</v>
      </c>
      <c r="N33" s="119"/>
      <c r="O33" s="86">
        <f>57/M33</f>
        <v>7.125</v>
      </c>
      <c r="P33" s="12"/>
      <c r="Q33" s="9"/>
      <c r="R33" s="25">
        <v>16</v>
      </c>
      <c r="S33" s="54"/>
      <c r="T33" s="86">
        <f>69/R33</f>
        <v>4.3125</v>
      </c>
      <c r="U33" s="12"/>
      <c r="V33" s="9"/>
      <c r="W33" s="25"/>
      <c r="X33" s="54"/>
      <c r="Y33" s="86"/>
      <c r="Z33" s="12"/>
      <c r="AA33" s="9"/>
      <c r="AB33" s="25"/>
      <c r="AC33" s="54"/>
      <c r="AD33" s="86"/>
      <c r="AE33" s="12"/>
      <c r="AF33" s="9"/>
      <c r="AG33" s="25"/>
      <c r="AH33" s="25"/>
      <c r="AI33" s="54"/>
      <c r="AJ33" s="86"/>
      <c r="AK33" s="12"/>
      <c r="AL33" s="9"/>
    </row>
    <row r="34" spans="1:38" ht="18" customHeight="1">
      <c r="A34" s="165"/>
      <c r="B34" s="6" t="s">
        <v>90</v>
      </c>
      <c r="C34" s="25"/>
      <c r="D34" s="54"/>
      <c r="E34" s="27"/>
      <c r="F34" s="28"/>
      <c r="G34" s="28"/>
      <c r="H34" s="25"/>
      <c r="I34" s="54"/>
      <c r="J34" s="86"/>
      <c r="K34" s="12"/>
      <c r="L34" s="9"/>
      <c r="M34" s="25"/>
      <c r="N34" s="119"/>
      <c r="O34" s="86"/>
      <c r="P34" s="12"/>
      <c r="Q34" s="9"/>
      <c r="R34" s="25"/>
      <c r="S34" s="54"/>
      <c r="T34" s="86"/>
      <c r="U34" s="12"/>
      <c r="V34" s="9"/>
      <c r="W34" s="25">
        <v>43</v>
      </c>
      <c r="X34" s="54"/>
      <c r="Y34" s="86">
        <f>75/W34</f>
        <v>1.744186046511628</v>
      </c>
      <c r="Z34" s="12"/>
      <c r="AA34" s="9"/>
      <c r="AB34" s="25">
        <v>23</v>
      </c>
      <c r="AC34" s="54"/>
      <c r="AD34" s="86">
        <f>75/AB34</f>
        <v>3.260869565217391</v>
      </c>
      <c r="AE34" s="12"/>
      <c r="AF34" s="9"/>
      <c r="AG34" s="25">
        <v>27</v>
      </c>
      <c r="AH34" s="25"/>
      <c r="AI34" s="54"/>
      <c r="AJ34" s="86">
        <f>1074/AG34</f>
        <v>39.77777777777778</v>
      </c>
      <c r="AK34" s="12"/>
      <c r="AL34" s="9"/>
    </row>
    <row r="35" spans="1:38" ht="18" customHeight="1">
      <c r="A35" s="165"/>
      <c r="B35" s="6" t="s">
        <v>18</v>
      </c>
      <c r="C35" s="25">
        <v>23</v>
      </c>
      <c r="D35" s="54"/>
      <c r="E35" s="27">
        <f>75/C35</f>
        <v>3.260869565217391</v>
      </c>
      <c r="F35" s="28"/>
      <c r="G35" s="28"/>
      <c r="H35" s="25">
        <v>31</v>
      </c>
      <c r="I35" s="54"/>
      <c r="J35" s="86">
        <f>75/H35</f>
        <v>2.4193548387096775</v>
      </c>
      <c r="K35" s="12"/>
      <c r="L35" s="9"/>
      <c r="M35" s="25">
        <v>8</v>
      </c>
      <c r="N35" s="119"/>
      <c r="O35" s="86">
        <f>57/M35</f>
        <v>7.125</v>
      </c>
      <c r="P35" s="12"/>
      <c r="Q35" s="9"/>
      <c r="R35" s="25">
        <v>14</v>
      </c>
      <c r="S35" s="54"/>
      <c r="T35" s="86">
        <f>75/R35</f>
        <v>5.357142857142857</v>
      </c>
      <c r="U35" s="12"/>
      <c r="V35" s="9"/>
      <c r="W35" s="25">
        <v>10</v>
      </c>
      <c r="X35" s="54"/>
      <c r="Y35" s="86">
        <f>75/W35</f>
        <v>7.5</v>
      </c>
      <c r="Z35" s="12"/>
      <c r="AA35" s="9"/>
      <c r="AB35" s="25">
        <v>9</v>
      </c>
      <c r="AC35" s="54"/>
      <c r="AD35" s="86">
        <f>75/AB35</f>
        <v>8.333333333333334</v>
      </c>
      <c r="AE35" s="12"/>
      <c r="AF35" s="9"/>
      <c r="AG35" s="25">
        <v>14</v>
      </c>
      <c r="AH35" s="25"/>
      <c r="AI35" s="54"/>
      <c r="AJ35" s="86">
        <f>255/AG35</f>
        <v>18.214285714285715</v>
      </c>
      <c r="AK35" s="12"/>
      <c r="AL35" s="9"/>
    </row>
    <row r="36" spans="1:38" ht="18" customHeight="1">
      <c r="A36" s="165"/>
      <c r="B36" s="69" t="s">
        <v>19</v>
      </c>
      <c r="C36" s="128">
        <f>SUM(C26:C35)</f>
        <v>186</v>
      </c>
      <c r="D36" s="20"/>
      <c r="E36" s="48">
        <f>698/186</f>
        <v>3.752688172043011</v>
      </c>
      <c r="F36" s="4"/>
      <c r="G36" s="4"/>
      <c r="H36" s="128">
        <f>SUM(H26:H35)</f>
        <v>286</v>
      </c>
      <c r="I36" s="20"/>
      <c r="J36" s="48">
        <f>751/H36</f>
        <v>2.625874125874126</v>
      </c>
      <c r="K36" s="2"/>
      <c r="L36" s="3"/>
      <c r="M36" s="128">
        <f>SUM(M26:M35)</f>
        <v>153</v>
      </c>
      <c r="N36" s="20" t="s">
        <v>71</v>
      </c>
      <c r="O36" s="48">
        <f>549/M36</f>
        <v>3.588235294117647</v>
      </c>
      <c r="P36" s="2"/>
      <c r="Q36" s="3"/>
      <c r="R36" s="128">
        <f>SUM(R26:R35)</f>
        <v>173</v>
      </c>
      <c r="S36" s="20" t="s">
        <v>71</v>
      </c>
      <c r="T36" s="48">
        <f>627/R36</f>
        <v>3.6242774566473988</v>
      </c>
      <c r="U36" s="2"/>
      <c r="V36" s="3"/>
      <c r="W36" s="128">
        <f>SUM(W26:W35)</f>
        <v>94</v>
      </c>
      <c r="X36" s="20" t="s">
        <v>71</v>
      </c>
      <c r="Y36" s="48">
        <f>627/W36</f>
        <v>6.670212765957447</v>
      </c>
      <c r="Z36" s="2"/>
      <c r="AA36" s="3"/>
      <c r="AB36" s="128">
        <f>SUM(AB26:AB35)</f>
        <v>53</v>
      </c>
      <c r="AC36" s="20"/>
      <c r="AD36" s="48">
        <f>(75*3)/AB36</f>
        <v>4.245283018867925</v>
      </c>
      <c r="AE36" s="2"/>
      <c r="AF36" s="3"/>
      <c r="AG36" s="128">
        <f>SUM(AG26:AG35)</f>
        <v>66</v>
      </c>
      <c r="AH36" s="128"/>
      <c r="AI36" s="20"/>
      <c r="AJ36" s="48">
        <f>(75*3)/AG36</f>
        <v>3.409090909090909</v>
      </c>
      <c r="AK36" s="2"/>
      <c r="AL36" s="3"/>
    </row>
    <row r="37" spans="1:38" ht="15.75" hidden="1">
      <c r="A37" s="165" t="s">
        <v>69</v>
      </c>
      <c r="B37" s="6" t="s">
        <v>10</v>
      </c>
      <c r="C37" s="25">
        <v>2</v>
      </c>
      <c r="D37" s="54">
        <f>3000/2</f>
        <v>1500</v>
      </c>
      <c r="E37" s="27"/>
      <c r="F37" s="28"/>
      <c r="G37" s="28"/>
      <c r="H37" s="25">
        <v>3</v>
      </c>
      <c r="I37" s="54">
        <f>5215.98/H37</f>
        <v>1738.6599999999999</v>
      </c>
      <c r="J37" s="66"/>
      <c r="K37" s="12"/>
      <c r="L37" s="9"/>
      <c r="M37" s="25">
        <v>5</v>
      </c>
      <c r="N37" s="54">
        <f>8915.98/M37</f>
        <v>1783.196</v>
      </c>
      <c r="O37" s="66"/>
      <c r="P37" s="12"/>
      <c r="Q37" s="9"/>
      <c r="R37" s="25">
        <v>6</v>
      </c>
      <c r="S37" s="54">
        <f>9416.54/R37</f>
        <v>1569.4233333333334</v>
      </c>
      <c r="T37" s="66"/>
      <c r="U37" s="12"/>
      <c r="V37" s="9"/>
      <c r="W37" s="25"/>
      <c r="X37" s="54"/>
      <c r="Y37" s="66"/>
      <c r="Z37" s="12"/>
      <c r="AA37" s="9"/>
      <c r="AB37" s="25"/>
      <c r="AC37" s="54"/>
      <c r="AD37" s="66"/>
      <c r="AE37" s="12"/>
      <c r="AF37" s="9"/>
      <c r="AG37" s="25"/>
      <c r="AH37" s="25"/>
      <c r="AI37" s="54"/>
      <c r="AJ37" s="66"/>
      <c r="AK37" s="12"/>
      <c r="AL37" s="9"/>
    </row>
    <row r="38" spans="1:38" ht="18" customHeight="1">
      <c r="A38" s="165"/>
      <c r="B38" s="6" t="s">
        <v>11</v>
      </c>
      <c r="C38" s="25">
        <v>26</v>
      </c>
      <c r="D38" s="54">
        <f>35577.2/26</f>
        <v>1368.353846153846</v>
      </c>
      <c r="E38" s="27"/>
      <c r="F38" s="28"/>
      <c r="G38" s="28"/>
      <c r="H38" s="25">
        <v>41</v>
      </c>
      <c r="I38" s="54">
        <f>54758.46/H38</f>
        <v>1335.5721951219512</v>
      </c>
      <c r="J38" s="66"/>
      <c r="K38" s="12"/>
      <c r="L38" s="9"/>
      <c r="M38" s="25">
        <v>44</v>
      </c>
      <c r="N38" s="54">
        <f>57958.46/M38</f>
        <v>1317.2377272727272</v>
      </c>
      <c r="O38" s="66"/>
      <c r="P38" s="12"/>
      <c r="Q38" s="9"/>
      <c r="R38" s="25">
        <v>39</v>
      </c>
      <c r="S38" s="54">
        <f>54196.75/R38</f>
        <v>1389.6602564102564</v>
      </c>
      <c r="T38" s="66"/>
      <c r="U38" s="12"/>
      <c r="V38" s="9"/>
      <c r="W38" s="25">
        <v>43</v>
      </c>
      <c r="X38" s="54">
        <f>40057.11/W38</f>
        <v>931.5606976744186</v>
      </c>
      <c r="Y38" s="66"/>
      <c r="Z38" s="12"/>
      <c r="AA38" s="9"/>
      <c r="AB38" s="25">
        <v>39</v>
      </c>
      <c r="AC38" s="54">
        <f>36854.19/AB38</f>
        <v>944.9792307692309</v>
      </c>
      <c r="AD38" s="66"/>
      <c r="AE38" s="12"/>
      <c r="AF38" s="9"/>
      <c r="AG38" s="25">
        <v>40</v>
      </c>
      <c r="AH38" s="25"/>
      <c r="AI38" s="54">
        <f>36854.19/AG38</f>
        <v>921.3547500000001</v>
      </c>
      <c r="AJ38" s="66"/>
      <c r="AK38" s="12"/>
      <c r="AL38" s="9"/>
    </row>
    <row r="39" spans="1:38" ht="18" customHeight="1" hidden="1">
      <c r="A39" s="165"/>
      <c r="B39" s="6" t="s">
        <v>12</v>
      </c>
      <c r="C39" s="25">
        <v>1</v>
      </c>
      <c r="D39" s="54">
        <v>566.84</v>
      </c>
      <c r="E39" s="27"/>
      <c r="F39" s="28"/>
      <c r="G39" s="28"/>
      <c r="H39" s="25">
        <v>1</v>
      </c>
      <c r="I39" s="54">
        <v>566.84</v>
      </c>
      <c r="J39" s="66"/>
      <c r="K39" s="13"/>
      <c r="L39" s="9"/>
      <c r="M39" s="25">
        <v>3</v>
      </c>
      <c r="N39" s="54">
        <f>1666.84/M39</f>
        <v>555.6133333333333</v>
      </c>
      <c r="O39" s="66"/>
      <c r="P39" s="13"/>
      <c r="Q39" s="9"/>
      <c r="R39" s="25">
        <v>3</v>
      </c>
      <c r="S39" s="54">
        <f>2066.84/R39</f>
        <v>688.9466666666667</v>
      </c>
      <c r="T39" s="66"/>
      <c r="U39" s="13"/>
      <c r="V39" s="9"/>
      <c r="W39" s="25"/>
      <c r="X39" s="54"/>
      <c r="Y39" s="66"/>
      <c r="Z39" s="13"/>
      <c r="AA39" s="9"/>
      <c r="AB39" s="25"/>
      <c r="AC39" s="54"/>
      <c r="AD39" s="66"/>
      <c r="AE39" s="13"/>
      <c r="AF39" s="9"/>
      <c r="AG39" s="25"/>
      <c r="AH39" s="25"/>
      <c r="AI39" s="54"/>
      <c r="AJ39" s="66"/>
      <c r="AK39" s="13"/>
      <c r="AL39" s="9"/>
    </row>
    <row r="40" spans="1:38" ht="18" customHeight="1" hidden="1">
      <c r="A40" s="165"/>
      <c r="B40" s="6" t="s">
        <v>13</v>
      </c>
      <c r="C40" s="25">
        <v>4</v>
      </c>
      <c r="D40" s="54">
        <f>3500/4</f>
        <v>875</v>
      </c>
      <c r="E40" s="27"/>
      <c r="F40" s="28"/>
      <c r="G40" s="28"/>
      <c r="H40" s="25">
        <v>7</v>
      </c>
      <c r="I40" s="54">
        <f>7850/H40</f>
        <v>1121.4285714285713</v>
      </c>
      <c r="J40" s="66"/>
      <c r="K40" s="12"/>
      <c r="L40" s="9"/>
      <c r="M40" s="25">
        <v>8</v>
      </c>
      <c r="N40" s="54">
        <f>9250/M40</f>
        <v>1156.25</v>
      </c>
      <c r="O40" s="66"/>
      <c r="P40" s="12"/>
      <c r="Q40" s="9"/>
      <c r="R40" s="25">
        <v>6</v>
      </c>
      <c r="S40" s="54">
        <f>8887.93/R40</f>
        <v>1481.3216666666667</v>
      </c>
      <c r="T40" s="66"/>
      <c r="U40" s="12"/>
      <c r="V40" s="9"/>
      <c r="W40" s="25"/>
      <c r="X40" s="54"/>
      <c r="Y40" s="66"/>
      <c r="Z40" s="12"/>
      <c r="AA40" s="9"/>
      <c r="AB40" s="25"/>
      <c r="AC40" s="54"/>
      <c r="AD40" s="66"/>
      <c r="AE40" s="12"/>
      <c r="AF40" s="9"/>
      <c r="AG40" s="25"/>
      <c r="AH40" s="25"/>
      <c r="AI40" s="54"/>
      <c r="AJ40" s="66"/>
      <c r="AK40" s="12"/>
      <c r="AL40" s="9"/>
    </row>
    <row r="41" spans="1:38" ht="18" customHeight="1">
      <c r="A41" s="165"/>
      <c r="B41" s="6" t="s">
        <v>14</v>
      </c>
      <c r="C41" s="25"/>
      <c r="D41" s="54"/>
      <c r="E41" s="27"/>
      <c r="F41" s="28"/>
      <c r="G41" s="28"/>
      <c r="H41" s="25">
        <v>3</v>
      </c>
      <c r="I41" s="54">
        <f>6096.55/H41</f>
        <v>2032.1833333333334</v>
      </c>
      <c r="J41" s="66"/>
      <c r="K41" s="12"/>
      <c r="L41" s="9"/>
      <c r="M41" s="25">
        <v>4</v>
      </c>
      <c r="N41" s="54">
        <f>8096.55/M41</f>
        <v>2024.1375</v>
      </c>
      <c r="O41" s="66"/>
      <c r="P41" s="12"/>
      <c r="Q41" s="9"/>
      <c r="R41" s="25">
        <v>4</v>
      </c>
      <c r="S41" s="54">
        <f>8096.55/R41</f>
        <v>2024.1375</v>
      </c>
      <c r="T41" s="66"/>
      <c r="U41" s="12"/>
      <c r="V41" s="9"/>
      <c r="W41" s="25">
        <v>4</v>
      </c>
      <c r="X41" s="54">
        <f>5196.55/W41</f>
        <v>1299.1375</v>
      </c>
      <c r="Y41" s="66"/>
      <c r="Z41" s="12"/>
      <c r="AA41" s="9"/>
      <c r="AB41" s="25">
        <v>3</v>
      </c>
      <c r="AC41" s="54">
        <f>3219.05/AB41</f>
        <v>1073.0166666666667</v>
      </c>
      <c r="AD41" s="66"/>
      <c r="AE41" s="12"/>
      <c r="AF41" s="9"/>
      <c r="AG41" s="25">
        <v>3</v>
      </c>
      <c r="AH41" s="25"/>
      <c r="AI41" s="54">
        <f>3219.05/AG41</f>
        <v>1073.0166666666667</v>
      </c>
      <c r="AJ41" s="66"/>
      <c r="AK41" s="12"/>
      <c r="AL41" s="9"/>
    </row>
    <row r="42" spans="1:38" ht="18" customHeight="1" hidden="1">
      <c r="A42" s="165"/>
      <c r="B42" s="6" t="s">
        <v>15</v>
      </c>
      <c r="C42" s="25">
        <v>1</v>
      </c>
      <c r="D42" s="54">
        <v>1000</v>
      </c>
      <c r="E42" s="27"/>
      <c r="F42" s="28"/>
      <c r="G42" s="28"/>
      <c r="H42" s="25">
        <v>1</v>
      </c>
      <c r="I42" s="54">
        <v>1000</v>
      </c>
      <c r="J42" s="66"/>
      <c r="K42" s="12"/>
      <c r="L42" s="9"/>
      <c r="M42" s="25">
        <v>1</v>
      </c>
      <c r="N42" s="54">
        <v>1000</v>
      </c>
      <c r="O42" s="66"/>
      <c r="P42" s="12"/>
      <c r="Q42" s="9"/>
      <c r="R42" s="25">
        <v>1</v>
      </c>
      <c r="S42" s="54">
        <v>1000</v>
      </c>
      <c r="T42" s="66"/>
      <c r="U42" s="12"/>
      <c r="V42" s="9"/>
      <c r="W42" s="25"/>
      <c r="X42" s="54"/>
      <c r="Y42" s="66"/>
      <c r="Z42" s="12"/>
      <c r="AA42" s="9"/>
      <c r="AB42" s="25"/>
      <c r="AC42" s="54"/>
      <c r="AD42" s="66"/>
      <c r="AE42" s="12"/>
      <c r="AF42" s="9"/>
      <c r="AG42" s="25"/>
      <c r="AH42" s="25"/>
      <c r="AI42" s="54"/>
      <c r="AJ42" s="66"/>
      <c r="AK42" s="12"/>
      <c r="AL42" s="9"/>
    </row>
    <row r="43" spans="1:38" ht="18" customHeight="1">
      <c r="A43" s="165"/>
      <c r="B43" s="6" t="s">
        <v>16</v>
      </c>
      <c r="C43" s="25">
        <v>14</v>
      </c>
      <c r="D43" s="54">
        <f>22401.48/14</f>
        <v>1600.1057142857142</v>
      </c>
      <c r="E43" s="27"/>
      <c r="F43" s="28"/>
      <c r="G43" s="28"/>
      <c r="H43" s="25">
        <v>20</v>
      </c>
      <c r="I43" s="54">
        <f>30896.95/H43</f>
        <v>1544.8475</v>
      </c>
      <c r="J43" s="66"/>
      <c r="K43" s="12"/>
      <c r="L43" s="9"/>
      <c r="M43" s="25">
        <v>23</v>
      </c>
      <c r="N43" s="54">
        <f>36745.67/M43</f>
        <v>1597.6378260869565</v>
      </c>
      <c r="O43" s="66"/>
      <c r="P43" s="12"/>
      <c r="Q43" s="9"/>
      <c r="R43" s="25">
        <v>15</v>
      </c>
      <c r="S43" s="54">
        <f>25168.17/R43</f>
        <v>1677.878</v>
      </c>
      <c r="T43" s="66"/>
      <c r="U43" s="12"/>
      <c r="V43" s="9"/>
      <c r="W43" s="25">
        <v>12</v>
      </c>
      <c r="X43" s="54">
        <f>12836.91/W43</f>
        <v>1069.7425</v>
      </c>
      <c r="Y43" s="66"/>
      <c r="Z43" s="12"/>
      <c r="AA43" s="9"/>
      <c r="AB43" s="25">
        <v>11</v>
      </c>
      <c r="AC43" s="54">
        <f>12336.91/AB43</f>
        <v>1121.5372727272727</v>
      </c>
      <c r="AD43" s="66"/>
      <c r="AE43" s="12"/>
      <c r="AF43" s="9"/>
      <c r="AG43" s="25">
        <v>17</v>
      </c>
      <c r="AH43" s="25"/>
      <c r="AI43" s="54">
        <f>16420.85/AG43</f>
        <v>965.9323529411764</v>
      </c>
      <c r="AJ43" s="66"/>
      <c r="AK43" s="12"/>
      <c r="AL43" s="9"/>
    </row>
    <row r="44" spans="1:38" ht="18" customHeight="1" hidden="1">
      <c r="A44" s="165"/>
      <c r="B44" s="6" t="s">
        <v>17</v>
      </c>
      <c r="C44" s="25">
        <v>2</v>
      </c>
      <c r="D44" s="54">
        <f>2642/2</f>
        <v>1321</v>
      </c>
      <c r="E44" s="27"/>
      <c r="F44" s="28"/>
      <c r="G44" s="28"/>
      <c r="H44" s="25">
        <v>2</v>
      </c>
      <c r="I44" s="54">
        <f>2642/H44</f>
        <v>1321</v>
      </c>
      <c r="J44" s="66"/>
      <c r="K44" s="12"/>
      <c r="L44" s="9"/>
      <c r="M44" s="25">
        <v>4</v>
      </c>
      <c r="N44" s="54">
        <f>5115.17/M44</f>
        <v>1278.7925</v>
      </c>
      <c r="O44" s="66"/>
      <c r="P44" s="12"/>
      <c r="Q44" s="9"/>
      <c r="R44" s="25">
        <v>2</v>
      </c>
      <c r="S44" s="54">
        <f>3200/R44</f>
        <v>1600</v>
      </c>
      <c r="T44" s="66"/>
      <c r="U44" s="12"/>
      <c r="V44" s="9"/>
      <c r="W44" s="25"/>
      <c r="X44" s="54"/>
      <c r="Y44" s="66"/>
      <c r="Z44" s="12"/>
      <c r="AA44" s="9"/>
      <c r="AB44" s="25"/>
      <c r="AC44" s="54"/>
      <c r="AD44" s="66"/>
      <c r="AE44" s="12"/>
      <c r="AF44" s="9"/>
      <c r="AG44" s="25"/>
      <c r="AH44" s="25"/>
      <c r="AI44" s="54"/>
      <c r="AJ44" s="66"/>
      <c r="AK44" s="12"/>
      <c r="AL44" s="9"/>
    </row>
    <row r="45" spans="1:38" ht="18" customHeight="1">
      <c r="A45" s="165"/>
      <c r="B45" s="6" t="s">
        <v>90</v>
      </c>
      <c r="C45" s="25"/>
      <c r="D45" s="54"/>
      <c r="E45" s="27"/>
      <c r="F45" s="28"/>
      <c r="G45" s="28"/>
      <c r="H45" s="25"/>
      <c r="I45" s="54"/>
      <c r="J45" s="66"/>
      <c r="K45" s="12"/>
      <c r="L45" s="9"/>
      <c r="M45" s="25"/>
      <c r="N45" s="54"/>
      <c r="O45" s="66"/>
      <c r="P45" s="12"/>
      <c r="Q45" s="9"/>
      <c r="R45" s="25"/>
      <c r="S45" s="54"/>
      <c r="T45" s="66"/>
      <c r="U45" s="12"/>
      <c r="V45" s="9"/>
      <c r="W45" s="25">
        <v>18</v>
      </c>
      <c r="X45" s="54">
        <f>18196.82/W45</f>
        <v>1010.9344444444445</v>
      </c>
      <c r="Y45" s="66"/>
      <c r="Z45" s="12"/>
      <c r="AA45" s="9"/>
      <c r="AB45" s="25">
        <v>17</v>
      </c>
      <c r="AC45" s="54">
        <f>17556.82/AB45</f>
        <v>1032.7541176470588</v>
      </c>
      <c r="AD45" s="66"/>
      <c r="AE45" s="12"/>
      <c r="AF45" s="9"/>
      <c r="AG45" s="25">
        <v>18</v>
      </c>
      <c r="AH45" s="25"/>
      <c r="AI45" s="54">
        <f>17826.82/AG45</f>
        <v>990.3788888888889</v>
      </c>
      <c r="AJ45" s="66"/>
      <c r="AK45" s="12"/>
      <c r="AL45" s="9"/>
    </row>
    <row r="46" spans="1:38" ht="18" customHeight="1">
      <c r="A46" s="165"/>
      <c r="B46" s="6" t="s">
        <v>18</v>
      </c>
      <c r="C46" s="25">
        <v>8</v>
      </c>
      <c r="D46" s="54">
        <f>12587.89/8</f>
        <v>1573.48625</v>
      </c>
      <c r="E46" s="27"/>
      <c r="F46" s="28"/>
      <c r="G46" s="28"/>
      <c r="H46" s="25">
        <v>14</v>
      </c>
      <c r="I46" s="54">
        <f>21800.04/H46</f>
        <v>1557.1457142857143</v>
      </c>
      <c r="J46" s="66"/>
      <c r="K46" s="12"/>
      <c r="L46" s="9"/>
      <c r="M46" s="25">
        <v>14</v>
      </c>
      <c r="N46" s="54">
        <f>22224.51/M46</f>
        <v>1587.465</v>
      </c>
      <c r="O46" s="66"/>
      <c r="P46" s="12"/>
      <c r="Q46" s="9"/>
      <c r="R46" s="25">
        <v>12</v>
      </c>
      <c r="S46" s="54">
        <f>17267.5/R46</f>
        <v>1438.9583333333333</v>
      </c>
      <c r="T46" s="66"/>
      <c r="U46" s="12"/>
      <c r="V46" s="9"/>
      <c r="W46" s="25">
        <v>13</v>
      </c>
      <c r="X46" s="54">
        <f>12384.14/W46</f>
        <v>952.6261538461538</v>
      </c>
      <c r="Y46" s="66"/>
      <c r="Z46" s="12"/>
      <c r="AA46" s="9"/>
      <c r="AB46" s="25">
        <v>13</v>
      </c>
      <c r="AC46" s="54">
        <f>14564.79/AB46</f>
        <v>1120.3684615384616</v>
      </c>
      <c r="AD46" s="66"/>
      <c r="AE46" s="12"/>
      <c r="AF46" s="9"/>
      <c r="AG46" s="25">
        <v>15</v>
      </c>
      <c r="AH46" s="25"/>
      <c r="AI46" s="54">
        <f>18264.79/AG46</f>
        <v>1217.6526666666666</v>
      </c>
      <c r="AJ46" s="66"/>
      <c r="AK46" s="12"/>
      <c r="AL46" s="9"/>
    </row>
    <row r="47" spans="1:38" ht="18" customHeight="1">
      <c r="A47" s="165"/>
      <c r="B47" s="69" t="s">
        <v>19</v>
      </c>
      <c r="C47" s="128">
        <f>SUM(C37:C46)</f>
        <v>58</v>
      </c>
      <c r="D47" s="20">
        <v>1401.3001724137932</v>
      </c>
      <c r="E47" s="5"/>
      <c r="F47" s="5"/>
      <c r="G47" s="5"/>
      <c r="H47" s="128">
        <f>SUM(H37:H46)</f>
        <v>92</v>
      </c>
      <c r="I47" s="20">
        <v>1422.030652173913</v>
      </c>
      <c r="J47" s="49"/>
      <c r="K47" s="2"/>
      <c r="L47" s="3"/>
      <c r="M47" s="128">
        <f>SUM(M37:M46)</f>
        <v>106</v>
      </c>
      <c r="N47" s="20">
        <v>1424.28</v>
      </c>
      <c r="O47" s="49"/>
      <c r="P47" s="2"/>
      <c r="Q47" s="3"/>
      <c r="R47" s="128">
        <f>SUM(R37:R46)</f>
        <v>88</v>
      </c>
      <c r="S47" s="20">
        <f>129300.28/R47</f>
        <v>1469.3213636363637</v>
      </c>
      <c r="T47" s="49"/>
      <c r="U47" s="2"/>
      <c r="V47" s="3"/>
      <c r="W47" s="128">
        <f>SUM(W37:W46)</f>
        <v>90</v>
      </c>
      <c r="X47" s="20">
        <f>88671.53/W47</f>
        <v>985.2392222222222</v>
      </c>
      <c r="Y47" s="49"/>
      <c r="Z47" s="2"/>
      <c r="AA47" s="3"/>
      <c r="AB47" s="128">
        <f>SUM(AB37:AB46)</f>
        <v>83</v>
      </c>
      <c r="AC47" s="20">
        <f>88671.53/AB47</f>
        <v>1068.331686746988</v>
      </c>
      <c r="AD47" s="49"/>
      <c r="AE47" s="2"/>
      <c r="AF47" s="3"/>
      <c r="AG47" s="128">
        <f>SUM(AG37:AG46)</f>
        <v>93</v>
      </c>
      <c r="AH47" s="128"/>
      <c r="AI47" s="20">
        <f>88671.53/AG47</f>
        <v>953.457311827957</v>
      </c>
      <c r="AJ47" s="49"/>
      <c r="AK47" s="2"/>
      <c r="AL47" s="3"/>
    </row>
    <row r="48" spans="1:38" ht="15.75" hidden="1">
      <c r="A48" s="165" t="s">
        <v>88</v>
      </c>
      <c r="B48" s="6" t="s">
        <v>10</v>
      </c>
      <c r="C48" s="25">
        <v>6</v>
      </c>
      <c r="D48" s="54">
        <f>11735.42/C48</f>
        <v>1955.9033333333334</v>
      </c>
      <c r="E48" s="27"/>
      <c r="F48" s="28"/>
      <c r="G48" s="28"/>
      <c r="H48" s="25">
        <v>3</v>
      </c>
      <c r="I48" s="54">
        <f>3677.3/3</f>
        <v>1225.7666666666667</v>
      </c>
      <c r="J48" s="66"/>
      <c r="K48" s="12"/>
      <c r="L48" s="9"/>
      <c r="M48" s="25">
        <v>5</v>
      </c>
      <c r="N48" s="54">
        <f>8340.7/M48</f>
        <v>1668.14</v>
      </c>
      <c r="O48" s="66"/>
      <c r="P48" s="12"/>
      <c r="Q48" s="9"/>
      <c r="R48" s="25">
        <v>4</v>
      </c>
      <c r="S48" s="54">
        <f>2307/R48</f>
        <v>576.75</v>
      </c>
      <c r="T48" s="66"/>
      <c r="U48" s="12"/>
      <c r="V48" s="9"/>
      <c r="W48" s="25"/>
      <c r="X48" s="54"/>
      <c r="Y48" s="66"/>
      <c r="Z48" s="12"/>
      <c r="AA48" s="9"/>
      <c r="AB48" s="25"/>
      <c r="AC48" s="54"/>
      <c r="AD48" s="66"/>
      <c r="AE48" s="12"/>
      <c r="AF48" s="9"/>
      <c r="AG48" s="25"/>
      <c r="AH48" s="25"/>
      <c r="AI48" s="54"/>
      <c r="AJ48" s="66"/>
      <c r="AK48" s="12"/>
      <c r="AL48" s="9"/>
    </row>
    <row r="49" spans="1:38" ht="18" customHeight="1">
      <c r="A49" s="165"/>
      <c r="B49" s="6" t="s">
        <v>11</v>
      </c>
      <c r="C49" s="25">
        <v>68</v>
      </c>
      <c r="D49" s="54">
        <f>140159.16/C49</f>
        <v>2061.164117647059</v>
      </c>
      <c r="E49" s="27"/>
      <c r="F49" s="28"/>
      <c r="G49" s="28"/>
      <c r="H49" s="25">
        <v>49</v>
      </c>
      <c r="I49" s="54">
        <f>101953.91/49</f>
        <v>2080.6920408163264</v>
      </c>
      <c r="J49" s="66"/>
      <c r="K49" s="12"/>
      <c r="L49" s="9"/>
      <c r="M49" s="25">
        <v>46</v>
      </c>
      <c r="N49" s="54">
        <f>109303/M49</f>
        <v>2376.1521739130435</v>
      </c>
      <c r="O49" s="66"/>
      <c r="P49" s="12"/>
      <c r="Q49" s="9"/>
      <c r="R49" s="25">
        <v>40</v>
      </c>
      <c r="S49" s="54">
        <f>98898/R49</f>
        <v>2472.45</v>
      </c>
      <c r="T49" s="66"/>
      <c r="U49" s="12"/>
      <c r="V49" s="9"/>
      <c r="W49" s="25"/>
      <c r="X49" s="54"/>
      <c r="Y49" s="66"/>
      <c r="Z49" s="12"/>
      <c r="AA49" s="9"/>
      <c r="AB49" s="25"/>
      <c r="AC49" s="54"/>
      <c r="AD49" s="66"/>
      <c r="AE49" s="12"/>
      <c r="AF49" s="9"/>
      <c r="AG49" s="25"/>
      <c r="AH49" s="25"/>
      <c r="AI49" s="54"/>
      <c r="AJ49" s="66"/>
      <c r="AK49" s="12"/>
      <c r="AL49" s="9"/>
    </row>
    <row r="50" spans="1:38" ht="18" customHeight="1" hidden="1">
      <c r="A50" s="165"/>
      <c r="B50" s="6" t="s">
        <v>12</v>
      </c>
      <c r="C50" s="25">
        <v>3</v>
      </c>
      <c r="D50" s="54">
        <f>4441.94/C50</f>
        <v>1480.6466666666665</v>
      </c>
      <c r="E50" s="27"/>
      <c r="F50" s="28"/>
      <c r="G50" s="28"/>
      <c r="H50" s="25">
        <v>2</v>
      </c>
      <c r="I50" s="54">
        <f>880.6/2</f>
        <v>440.3</v>
      </c>
      <c r="J50" s="66"/>
      <c r="K50" s="13"/>
      <c r="L50" s="9"/>
      <c r="M50" s="25">
        <v>4</v>
      </c>
      <c r="N50" s="54">
        <f>2815.2/2</f>
        <v>1407.6</v>
      </c>
      <c r="O50" s="66"/>
      <c r="P50" s="13"/>
      <c r="Q50" s="9"/>
      <c r="R50" s="25">
        <v>2</v>
      </c>
      <c r="S50" s="54">
        <f>3542/R50</f>
        <v>1771</v>
      </c>
      <c r="T50" s="66"/>
      <c r="U50" s="13"/>
      <c r="V50" s="9"/>
      <c r="W50" s="25"/>
      <c r="X50" s="54"/>
      <c r="Y50" s="66"/>
      <c r="Z50" s="13"/>
      <c r="AA50" s="9"/>
      <c r="AB50" s="25"/>
      <c r="AC50" s="54"/>
      <c r="AD50" s="66"/>
      <c r="AE50" s="13"/>
      <c r="AF50" s="9"/>
      <c r="AG50" s="25"/>
      <c r="AH50" s="25"/>
      <c r="AI50" s="54"/>
      <c r="AJ50" s="66"/>
      <c r="AK50" s="13"/>
      <c r="AL50" s="9"/>
    </row>
    <row r="51" spans="1:38" ht="18" customHeight="1" hidden="1">
      <c r="A51" s="165"/>
      <c r="B51" s="6" t="s">
        <v>13</v>
      </c>
      <c r="C51" s="25">
        <v>9</v>
      </c>
      <c r="D51" s="54">
        <f>21072.19/C51</f>
        <v>2341.354444444444</v>
      </c>
      <c r="E51" s="27"/>
      <c r="F51" s="28"/>
      <c r="G51" s="28"/>
      <c r="H51" s="25">
        <v>6</v>
      </c>
      <c r="I51" s="54">
        <f>9909.78/6</f>
        <v>1651.63</v>
      </c>
      <c r="J51" s="66"/>
      <c r="K51" s="12"/>
      <c r="L51" s="9"/>
      <c r="M51" s="25">
        <v>6</v>
      </c>
      <c r="N51" s="54">
        <f>5819.95/6</f>
        <v>969.9916666666667</v>
      </c>
      <c r="O51" s="66"/>
      <c r="P51" s="12"/>
      <c r="Q51" s="9"/>
      <c r="R51" s="25">
        <v>8</v>
      </c>
      <c r="S51" s="54">
        <f>13633.4/R51</f>
        <v>1704.175</v>
      </c>
      <c r="T51" s="66"/>
      <c r="U51" s="12"/>
      <c r="V51" s="9"/>
      <c r="W51" s="25"/>
      <c r="X51" s="54"/>
      <c r="Y51" s="66"/>
      <c r="Z51" s="12"/>
      <c r="AA51" s="9"/>
      <c r="AB51" s="25"/>
      <c r="AC51" s="54"/>
      <c r="AD51" s="66"/>
      <c r="AE51" s="12"/>
      <c r="AF51" s="9"/>
      <c r="AG51" s="25"/>
      <c r="AH51" s="25"/>
      <c r="AI51" s="54"/>
      <c r="AJ51" s="66"/>
      <c r="AK51" s="12"/>
      <c r="AL51" s="9"/>
    </row>
    <row r="52" spans="1:38" ht="18" customHeight="1">
      <c r="A52" s="165"/>
      <c r="B52" s="6" t="s">
        <v>14</v>
      </c>
      <c r="C52" s="25">
        <v>4</v>
      </c>
      <c r="D52" s="54">
        <f>5932.21/C52</f>
        <v>1483.0525</v>
      </c>
      <c r="E52" s="27"/>
      <c r="F52" s="28"/>
      <c r="G52" s="28"/>
      <c r="H52" s="25">
        <v>1</v>
      </c>
      <c r="I52" s="54">
        <f>2941.5/1</f>
        <v>2941.5</v>
      </c>
      <c r="J52" s="66"/>
      <c r="K52" s="12"/>
      <c r="L52" s="9"/>
      <c r="M52" s="25">
        <v>2</v>
      </c>
      <c r="N52" s="54">
        <f>425/1</f>
        <v>425</v>
      </c>
      <c r="O52" s="66"/>
      <c r="P52" s="12"/>
      <c r="Q52" s="9"/>
      <c r="R52" s="25">
        <v>2</v>
      </c>
      <c r="S52" s="54">
        <f>3216/R52</f>
        <v>1608</v>
      </c>
      <c r="T52" s="66"/>
      <c r="U52" s="12"/>
      <c r="V52" s="9"/>
      <c r="W52" s="25"/>
      <c r="X52" s="54"/>
      <c r="Y52" s="66"/>
      <c r="Z52" s="12"/>
      <c r="AA52" s="9"/>
      <c r="AB52" s="25"/>
      <c r="AC52" s="54"/>
      <c r="AD52" s="66"/>
      <c r="AE52" s="12"/>
      <c r="AF52" s="9"/>
      <c r="AG52" s="25"/>
      <c r="AH52" s="25"/>
      <c r="AI52" s="54"/>
      <c r="AJ52" s="66"/>
      <c r="AK52" s="12"/>
      <c r="AL52" s="9"/>
    </row>
    <row r="53" spans="1:38" ht="18" customHeight="1" hidden="1">
      <c r="A53" s="165"/>
      <c r="B53" s="6" t="s">
        <v>15</v>
      </c>
      <c r="C53" s="25">
        <v>7</v>
      </c>
      <c r="D53" s="54">
        <f>6238.23/C53</f>
        <v>891.1757142857142</v>
      </c>
      <c r="E53" s="27"/>
      <c r="F53" s="28"/>
      <c r="G53" s="28"/>
      <c r="H53" s="25"/>
      <c r="I53" s="54"/>
      <c r="J53" s="66"/>
      <c r="K53" s="12"/>
      <c r="L53" s="9"/>
      <c r="M53" s="25">
        <v>2</v>
      </c>
      <c r="N53" s="54">
        <f>1630/M53</f>
        <v>815</v>
      </c>
      <c r="O53" s="66"/>
      <c r="P53" s="12"/>
      <c r="Q53" s="9"/>
      <c r="R53" s="25">
        <v>3</v>
      </c>
      <c r="S53" s="54">
        <f>3637.5/R53</f>
        <v>1212.5</v>
      </c>
      <c r="T53" s="66"/>
      <c r="U53" s="12"/>
      <c r="V53" s="9"/>
      <c r="W53" s="25"/>
      <c r="X53" s="54"/>
      <c r="Y53" s="66"/>
      <c r="Z53" s="12"/>
      <c r="AA53" s="9"/>
      <c r="AB53" s="25"/>
      <c r="AC53" s="54"/>
      <c r="AD53" s="66"/>
      <c r="AE53" s="12"/>
      <c r="AF53" s="9"/>
      <c r="AG53" s="25"/>
      <c r="AH53" s="25"/>
      <c r="AI53" s="54"/>
      <c r="AJ53" s="66"/>
      <c r="AK53" s="12"/>
      <c r="AL53" s="9"/>
    </row>
    <row r="54" spans="1:38" ht="18" customHeight="1">
      <c r="A54" s="165"/>
      <c r="B54" s="6" t="s">
        <v>16</v>
      </c>
      <c r="C54" s="25">
        <v>11</v>
      </c>
      <c r="D54" s="54">
        <f>32330.38/C54</f>
        <v>2939.1254545454544</v>
      </c>
      <c r="E54" s="27"/>
      <c r="F54" s="28"/>
      <c r="G54" s="28"/>
      <c r="H54" s="25">
        <v>3</v>
      </c>
      <c r="I54" s="54">
        <f>15222.8/3</f>
        <v>5074.266666666666</v>
      </c>
      <c r="J54" s="66"/>
      <c r="K54" s="12"/>
      <c r="L54" s="9"/>
      <c r="M54" s="25">
        <v>7</v>
      </c>
      <c r="N54" s="54">
        <f>9941.1/3</f>
        <v>3313.7000000000003</v>
      </c>
      <c r="O54" s="66"/>
      <c r="P54" s="12"/>
      <c r="Q54" s="9"/>
      <c r="R54" s="25">
        <v>7</v>
      </c>
      <c r="S54" s="54">
        <f>12794/R54</f>
        <v>1827.7142857142858</v>
      </c>
      <c r="T54" s="66"/>
      <c r="U54" s="12"/>
      <c r="V54" s="9"/>
      <c r="W54" s="25"/>
      <c r="X54" s="54"/>
      <c r="Y54" s="66"/>
      <c r="Z54" s="12"/>
      <c r="AA54" s="9"/>
      <c r="AB54" s="25"/>
      <c r="AC54" s="54"/>
      <c r="AD54" s="66"/>
      <c r="AE54" s="12"/>
      <c r="AF54" s="9"/>
      <c r="AG54" s="25"/>
      <c r="AH54" s="25"/>
      <c r="AI54" s="54"/>
      <c r="AJ54" s="66"/>
      <c r="AK54" s="12"/>
      <c r="AL54" s="9"/>
    </row>
    <row r="55" spans="1:38" ht="18" customHeight="1" hidden="1">
      <c r="A55" s="165"/>
      <c r="B55" s="6" t="s">
        <v>17</v>
      </c>
      <c r="C55" s="25">
        <v>4</v>
      </c>
      <c r="D55" s="54">
        <f>1815.5/C55</f>
        <v>453.875</v>
      </c>
      <c r="E55" s="27"/>
      <c r="F55" s="28"/>
      <c r="G55" s="28"/>
      <c r="H55" s="25">
        <v>1</v>
      </c>
      <c r="I55" s="54">
        <v>222</v>
      </c>
      <c r="J55" s="66"/>
      <c r="K55" s="12"/>
      <c r="L55" s="9"/>
      <c r="M55" s="25"/>
      <c r="N55" s="54">
        <v>222</v>
      </c>
      <c r="O55" s="66"/>
      <c r="P55" s="12"/>
      <c r="Q55" s="9"/>
      <c r="R55" s="25">
        <v>3</v>
      </c>
      <c r="S55" s="54">
        <f>1746.5/R55</f>
        <v>582.1666666666666</v>
      </c>
      <c r="T55" s="66"/>
      <c r="U55" s="12"/>
      <c r="V55" s="9"/>
      <c r="W55" s="25"/>
      <c r="X55" s="54"/>
      <c r="Y55" s="66"/>
      <c r="Z55" s="12"/>
      <c r="AA55" s="9"/>
      <c r="AB55" s="25"/>
      <c r="AC55" s="54"/>
      <c r="AD55" s="66"/>
      <c r="AE55" s="12"/>
      <c r="AF55" s="9"/>
      <c r="AG55" s="25"/>
      <c r="AH55" s="25"/>
      <c r="AI55" s="54"/>
      <c r="AJ55" s="66"/>
      <c r="AK55" s="12"/>
      <c r="AL55" s="9"/>
    </row>
    <row r="56" spans="1:38" ht="18" customHeight="1">
      <c r="A56" s="165"/>
      <c r="B56" s="6" t="s">
        <v>90</v>
      </c>
      <c r="C56" s="25"/>
      <c r="D56" s="54"/>
      <c r="E56" s="27"/>
      <c r="F56" s="28"/>
      <c r="G56" s="28"/>
      <c r="H56" s="25"/>
      <c r="I56" s="54"/>
      <c r="J56" s="66"/>
      <c r="K56" s="12"/>
      <c r="L56" s="9"/>
      <c r="M56" s="25"/>
      <c r="N56" s="54"/>
      <c r="O56" s="66"/>
      <c r="P56" s="12"/>
      <c r="Q56" s="9"/>
      <c r="R56" s="25"/>
      <c r="S56" s="54"/>
      <c r="T56" s="66"/>
      <c r="U56" s="12"/>
      <c r="V56" s="9"/>
      <c r="W56" s="25"/>
      <c r="X56" s="54"/>
      <c r="Y56" s="66"/>
      <c r="Z56" s="12"/>
      <c r="AA56" s="9"/>
      <c r="AB56" s="25"/>
      <c r="AC56" s="54"/>
      <c r="AD56" s="66"/>
      <c r="AE56" s="12"/>
      <c r="AF56" s="9"/>
      <c r="AG56" s="25"/>
      <c r="AH56" s="25"/>
      <c r="AI56" s="54"/>
      <c r="AJ56" s="66"/>
      <c r="AK56" s="12"/>
      <c r="AL56" s="9"/>
    </row>
    <row r="57" spans="1:38" ht="18" customHeight="1">
      <c r="A57" s="165"/>
      <c r="B57" s="6" t="s">
        <v>18</v>
      </c>
      <c r="C57" s="25">
        <v>20</v>
      </c>
      <c r="D57" s="54">
        <f>25798.44/C57</f>
        <v>1289.922</v>
      </c>
      <c r="E57" s="27"/>
      <c r="F57" s="28"/>
      <c r="G57" s="28"/>
      <c r="H57" s="25">
        <v>7</v>
      </c>
      <c r="I57" s="54">
        <f>8505.38/7</f>
        <v>1215.0542857142857</v>
      </c>
      <c r="J57" s="66"/>
      <c r="K57" s="12"/>
      <c r="L57" s="9"/>
      <c r="M57" s="25">
        <v>5</v>
      </c>
      <c r="N57" s="54">
        <f>5421.7/M57</f>
        <v>1084.34</v>
      </c>
      <c r="O57" s="66"/>
      <c r="P57" s="12"/>
      <c r="Q57" s="9"/>
      <c r="R57" s="25">
        <v>5</v>
      </c>
      <c r="S57" s="54">
        <f>9007/R57</f>
        <v>1801.4</v>
      </c>
      <c r="T57" s="66"/>
      <c r="U57" s="12"/>
      <c r="V57" s="9"/>
      <c r="W57" s="25"/>
      <c r="X57" s="54"/>
      <c r="Y57" s="66"/>
      <c r="Z57" s="12"/>
      <c r="AA57" s="9"/>
      <c r="AB57" s="25"/>
      <c r="AC57" s="54"/>
      <c r="AD57" s="66"/>
      <c r="AE57" s="12"/>
      <c r="AF57" s="9"/>
      <c r="AG57" s="25"/>
      <c r="AH57" s="25"/>
      <c r="AI57" s="54"/>
      <c r="AJ57" s="66"/>
      <c r="AK57" s="12"/>
      <c r="AL57" s="9"/>
    </row>
    <row r="58" spans="1:38" ht="18" customHeight="1">
      <c r="A58" s="165"/>
      <c r="B58" s="69" t="s">
        <v>19</v>
      </c>
      <c r="C58" s="128">
        <f>SUM(C48:C57)</f>
        <v>132</v>
      </c>
      <c r="D58" s="20">
        <v>1882.0944696969698</v>
      </c>
      <c r="E58" s="5"/>
      <c r="F58" s="5"/>
      <c r="G58" s="5"/>
      <c r="H58" s="128">
        <f>SUM(H48:H57)</f>
        <v>72</v>
      </c>
      <c r="I58" s="20">
        <v>2399.662222222222</v>
      </c>
      <c r="J58" s="49"/>
      <c r="K58" s="2"/>
      <c r="L58" s="3"/>
      <c r="M58" s="128">
        <f>SUM(M48:M57)</f>
        <v>77</v>
      </c>
      <c r="N58" s="20">
        <v>1866.19</v>
      </c>
      <c r="O58" s="49"/>
      <c r="P58" s="2"/>
      <c r="Q58" s="3"/>
      <c r="R58" s="128">
        <f>SUM(R48:R57)</f>
        <v>74</v>
      </c>
      <c r="S58" s="20">
        <f>148781.4/R58</f>
        <v>2010.5594594594593</v>
      </c>
      <c r="T58" s="49"/>
      <c r="U58" s="2"/>
      <c r="V58" s="3"/>
      <c r="W58" s="128">
        <f>SUM(W48:W57)</f>
        <v>0</v>
      </c>
      <c r="X58" s="20"/>
      <c r="Y58" s="49"/>
      <c r="Z58" s="2"/>
      <c r="AA58" s="3"/>
      <c r="AB58" s="128">
        <f>SUM(AB48:AB57)</f>
        <v>0</v>
      </c>
      <c r="AC58" s="20">
        <v>0</v>
      </c>
      <c r="AD58" s="49"/>
      <c r="AE58" s="2"/>
      <c r="AF58" s="3"/>
      <c r="AG58" s="128">
        <f>SUM(AG48:AG57)</f>
        <v>0</v>
      </c>
      <c r="AH58" s="128"/>
      <c r="AI58" s="20">
        <v>0</v>
      </c>
      <c r="AJ58" s="49"/>
      <c r="AK58" s="2"/>
      <c r="AL58" s="3"/>
    </row>
    <row r="59" spans="1:38" s="35" customFormat="1" ht="18" customHeight="1" hidden="1">
      <c r="A59" s="165" t="s">
        <v>84</v>
      </c>
      <c r="B59" s="6" t="s">
        <v>10</v>
      </c>
      <c r="C59" s="135"/>
      <c r="D59" s="112"/>
      <c r="E59" s="113"/>
      <c r="F59" s="113"/>
      <c r="G59" s="113"/>
      <c r="H59" s="135"/>
      <c r="I59" s="112"/>
      <c r="J59" s="114"/>
      <c r="K59" s="115"/>
      <c r="L59" s="136"/>
      <c r="M59" s="135"/>
      <c r="N59" s="112"/>
      <c r="O59" s="114"/>
      <c r="P59" s="115"/>
      <c r="Q59" s="136"/>
      <c r="R59" s="25">
        <v>1</v>
      </c>
      <c r="S59" s="54">
        <v>900</v>
      </c>
      <c r="T59" s="114"/>
      <c r="U59" s="115"/>
      <c r="V59" s="136"/>
      <c r="W59" s="25"/>
      <c r="X59" s="54"/>
      <c r="Y59" s="114"/>
      <c r="Z59" s="115"/>
      <c r="AA59" s="136"/>
      <c r="AB59" s="25"/>
      <c r="AC59" s="54"/>
      <c r="AD59" s="114"/>
      <c r="AE59" s="115"/>
      <c r="AF59" s="136"/>
      <c r="AG59" s="25"/>
      <c r="AH59" s="25"/>
      <c r="AI59" s="54"/>
      <c r="AJ59" s="114"/>
      <c r="AK59" s="115"/>
      <c r="AL59" s="136"/>
    </row>
    <row r="60" spans="1:38" s="35" customFormat="1" ht="18" customHeight="1">
      <c r="A60" s="165"/>
      <c r="B60" s="6" t="s">
        <v>11</v>
      </c>
      <c r="C60" s="135"/>
      <c r="D60" s="112"/>
      <c r="E60" s="113"/>
      <c r="F60" s="113"/>
      <c r="G60" s="113"/>
      <c r="H60" s="135"/>
      <c r="I60" s="112"/>
      <c r="J60" s="114"/>
      <c r="K60" s="115"/>
      <c r="L60" s="136"/>
      <c r="M60" s="135"/>
      <c r="N60" s="112"/>
      <c r="O60" s="114"/>
      <c r="P60" s="115"/>
      <c r="Q60" s="136"/>
      <c r="R60" s="25">
        <v>4</v>
      </c>
      <c r="S60" s="54">
        <f>5410/R60</f>
        <v>1352.5</v>
      </c>
      <c r="T60" s="114"/>
      <c r="U60" s="115"/>
      <c r="V60" s="136"/>
      <c r="W60" s="25">
        <v>24</v>
      </c>
      <c r="X60" s="54">
        <f>44422.9/W60</f>
        <v>1850.9541666666667</v>
      </c>
      <c r="Y60" s="114"/>
      <c r="Z60" s="115"/>
      <c r="AA60" s="136"/>
      <c r="AB60" s="25">
        <v>39</v>
      </c>
      <c r="AC60" s="54">
        <f>68747.75/AB60</f>
        <v>1762.7628205128206</v>
      </c>
      <c r="AD60" s="114"/>
      <c r="AE60" s="115"/>
      <c r="AF60" s="136"/>
      <c r="AG60" s="25">
        <v>35</v>
      </c>
      <c r="AH60" s="25"/>
      <c r="AI60" s="54">
        <f>73743.2/AG60</f>
        <v>2106.9485714285715</v>
      </c>
      <c r="AJ60" s="114"/>
      <c r="AK60" s="115"/>
      <c r="AL60" s="136"/>
    </row>
    <row r="61" spans="1:38" s="35" customFormat="1" ht="18" customHeight="1" hidden="1">
      <c r="A61" s="165"/>
      <c r="B61" s="6" t="s">
        <v>12</v>
      </c>
      <c r="C61" s="135"/>
      <c r="D61" s="112"/>
      <c r="E61" s="113"/>
      <c r="F61" s="113"/>
      <c r="G61" s="113"/>
      <c r="H61" s="135"/>
      <c r="I61" s="112"/>
      <c r="J61" s="114"/>
      <c r="K61" s="115"/>
      <c r="L61" s="136"/>
      <c r="M61" s="135"/>
      <c r="N61" s="112"/>
      <c r="O61" s="114"/>
      <c r="P61" s="115"/>
      <c r="Q61" s="136"/>
      <c r="R61" s="25">
        <v>1</v>
      </c>
      <c r="S61" s="54">
        <v>765</v>
      </c>
      <c r="T61" s="114"/>
      <c r="U61" s="115"/>
      <c r="V61" s="136"/>
      <c r="W61" s="25"/>
      <c r="X61" s="54"/>
      <c r="Y61" s="114"/>
      <c r="Z61" s="115"/>
      <c r="AA61" s="136"/>
      <c r="AB61" s="25"/>
      <c r="AC61" s="54"/>
      <c r="AD61" s="114"/>
      <c r="AE61" s="115"/>
      <c r="AF61" s="136"/>
      <c r="AG61" s="25"/>
      <c r="AH61" s="25"/>
      <c r="AI61" s="54"/>
      <c r="AJ61" s="114"/>
      <c r="AK61" s="115"/>
      <c r="AL61" s="136"/>
    </row>
    <row r="62" spans="1:38" s="35" customFormat="1" ht="18" customHeight="1" hidden="1">
      <c r="A62" s="165"/>
      <c r="B62" s="6" t="s">
        <v>13</v>
      </c>
      <c r="C62" s="135"/>
      <c r="D62" s="112"/>
      <c r="E62" s="113"/>
      <c r="F62" s="113"/>
      <c r="G62" s="113"/>
      <c r="H62" s="135"/>
      <c r="I62" s="112"/>
      <c r="J62" s="114"/>
      <c r="K62" s="115"/>
      <c r="L62" s="136"/>
      <c r="M62" s="135"/>
      <c r="N62" s="112"/>
      <c r="O62" s="114"/>
      <c r="P62" s="115"/>
      <c r="Q62" s="136"/>
      <c r="R62" s="25">
        <v>2</v>
      </c>
      <c r="S62" s="54">
        <f>2200.5/R62</f>
        <v>1100.25</v>
      </c>
      <c r="T62" s="114"/>
      <c r="U62" s="115"/>
      <c r="V62" s="136"/>
      <c r="W62" s="25"/>
      <c r="X62" s="54"/>
      <c r="Y62" s="114"/>
      <c r="Z62" s="115"/>
      <c r="AA62" s="136"/>
      <c r="AB62" s="25"/>
      <c r="AC62" s="54"/>
      <c r="AD62" s="114"/>
      <c r="AE62" s="115"/>
      <c r="AF62" s="136"/>
      <c r="AG62" s="25"/>
      <c r="AH62" s="25"/>
      <c r="AI62" s="54"/>
      <c r="AJ62" s="114"/>
      <c r="AK62" s="115"/>
      <c r="AL62" s="136"/>
    </row>
    <row r="63" spans="1:38" s="35" customFormat="1" ht="18" customHeight="1">
      <c r="A63" s="165"/>
      <c r="B63" s="6" t="s">
        <v>14</v>
      </c>
      <c r="C63" s="135"/>
      <c r="D63" s="112"/>
      <c r="E63" s="113"/>
      <c r="F63" s="113"/>
      <c r="G63" s="113"/>
      <c r="H63" s="135"/>
      <c r="I63" s="112"/>
      <c r="J63" s="114"/>
      <c r="K63" s="115"/>
      <c r="L63" s="136"/>
      <c r="M63" s="135"/>
      <c r="N63" s="112"/>
      <c r="O63" s="114"/>
      <c r="P63" s="115"/>
      <c r="Q63" s="136"/>
      <c r="R63" s="25">
        <v>1</v>
      </c>
      <c r="S63" s="54">
        <v>270</v>
      </c>
      <c r="T63" s="114"/>
      <c r="U63" s="115"/>
      <c r="V63" s="136"/>
      <c r="W63" s="25">
        <v>3</v>
      </c>
      <c r="X63" s="54">
        <f>5400.65/W63</f>
        <v>1800.2166666666665</v>
      </c>
      <c r="Y63" s="114"/>
      <c r="Z63" s="115"/>
      <c r="AA63" s="136"/>
      <c r="AB63" s="25">
        <v>4</v>
      </c>
      <c r="AC63" s="54">
        <f>9548.42/AB63</f>
        <v>2387.105</v>
      </c>
      <c r="AD63" s="114"/>
      <c r="AE63" s="115"/>
      <c r="AF63" s="136"/>
      <c r="AG63" s="25">
        <v>1</v>
      </c>
      <c r="AH63" s="25"/>
      <c r="AI63" s="54">
        <v>1500</v>
      </c>
      <c r="AJ63" s="114"/>
      <c r="AK63" s="115"/>
      <c r="AL63" s="136"/>
    </row>
    <row r="64" spans="1:38" s="35" customFormat="1" ht="18" customHeight="1" hidden="1">
      <c r="A64" s="165"/>
      <c r="B64" s="6" t="s">
        <v>15</v>
      </c>
      <c r="C64" s="135"/>
      <c r="D64" s="112"/>
      <c r="E64" s="113"/>
      <c r="F64" s="113"/>
      <c r="G64" s="113"/>
      <c r="H64" s="135"/>
      <c r="I64" s="112"/>
      <c r="J64" s="114"/>
      <c r="K64" s="115"/>
      <c r="L64" s="136"/>
      <c r="M64" s="135"/>
      <c r="N64" s="112"/>
      <c r="O64" s="114"/>
      <c r="P64" s="115"/>
      <c r="Q64" s="136"/>
      <c r="R64" s="25">
        <v>0</v>
      </c>
      <c r="S64" s="54">
        <v>0</v>
      </c>
      <c r="T64" s="114"/>
      <c r="U64" s="115"/>
      <c r="V64" s="136"/>
      <c r="W64" s="25"/>
      <c r="X64" s="54"/>
      <c r="Y64" s="114"/>
      <c r="Z64" s="115"/>
      <c r="AA64" s="136"/>
      <c r="AB64" s="25"/>
      <c r="AC64" s="54"/>
      <c r="AD64" s="114"/>
      <c r="AE64" s="115"/>
      <c r="AF64" s="136"/>
      <c r="AG64" s="25"/>
      <c r="AH64" s="25"/>
      <c r="AI64" s="54"/>
      <c r="AJ64" s="114"/>
      <c r="AK64" s="115"/>
      <c r="AL64" s="136"/>
    </row>
    <row r="65" spans="1:38" s="35" customFormat="1" ht="18" customHeight="1">
      <c r="A65" s="165"/>
      <c r="B65" s="6" t="s">
        <v>16</v>
      </c>
      <c r="C65" s="135"/>
      <c r="D65" s="112"/>
      <c r="E65" s="113"/>
      <c r="F65" s="113"/>
      <c r="G65" s="113"/>
      <c r="H65" s="135"/>
      <c r="I65" s="112"/>
      <c r="J65" s="114"/>
      <c r="K65" s="115"/>
      <c r="L65" s="136"/>
      <c r="M65" s="135"/>
      <c r="N65" s="112"/>
      <c r="O65" s="114"/>
      <c r="P65" s="115"/>
      <c r="Q65" s="136"/>
      <c r="R65" s="25">
        <v>0</v>
      </c>
      <c r="S65" s="54">
        <v>0</v>
      </c>
      <c r="T65" s="114"/>
      <c r="U65" s="115"/>
      <c r="V65" s="136"/>
      <c r="W65" s="25">
        <v>6</v>
      </c>
      <c r="X65" s="54">
        <f>7162.19/W65</f>
        <v>1193.6983333333333</v>
      </c>
      <c r="Y65" s="114"/>
      <c r="Z65" s="115"/>
      <c r="AA65" s="136"/>
      <c r="AB65" s="25">
        <v>10</v>
      </c>
      <c r="AC65" s="54">
        <f>11952.27/AB65</f>
        <v>1195.227</v>
      </c>
      <c r="AD65" s="114"/>
      <c r="AE65" s="115"/>
      <c r="AF65" s="136"/>
      <c r="AG65" s="25">
        <v>11</v>
      </c>
      <c r="AH65" s="25"/>
      <c r="AI65" s="54">
        <f>10777.21/AG65</f>
        <v>979.7463636363635</v>
      </c>
      <c r="AJ65" s="114"/>
      <c r="AK65" s="115"/>
      <c r="AL65" s="136"/>
    </row>
    <row r="66" spans="1:38" s="35" customFormat="1" ht="18" customHeight="1" hidden="1">
      <c r="A66" s="165"/>
      <c r="B66" s="6" t="s">
        <v>17</v>
      </c>
      <c r="C66" s="135"/>
      <c r="D66" s="112"/>
      <c r="E66" s="113"/>
      <c r="F66" s="113"/>
      <c r="G66" s="113"/>
      <c r="H66" s="135"/>
      <c r="I66" s="112"/>
      <c r="J66" s="114"/>
      <c r="K66" s="115"/>
      <c r="L66" s="136"/>
      <c r="M66" s="135"/>
      <c r="N66" s="112"/>
      <c r="O66" s="114"/>
      <c r="P66" s="115"/>
      <c r="Q66" s="136"/>
      <c r="R66" s="25">
        <v>0</v>
      </c>
      <c r="S66" s="54">
        <v>0</v>
      </c>
      <c r="T66" s="114"/>
      <c r="U66" s="115"/>
      <c r="V66" s="136"/>
      <c r="W66" s="25"/>
      <c r="X66" s="54"/>
      <c r="Y66" s="114"/>
      <c r="Z66" s="115"/>
      <c r="AA66" s="136"/>
      <c r="AB66" s="25"/>
      <c r="AC66" s="54"/>
      <c r="AD66" s="114"/>
      <c r="AE66" s="115"/>
      <c r="AF66" s="136"/>
      <c r="AG66" s="25"/>
      <c r="AH66" s="25"/>
      <c r="AI66" s="54"/>
      <c r="AJ66" s="114"/>
      <c r="AK66" s="115"/>
      <c r="AL66" s="136"/>
    </row>
    <row r="67" spans="1:38" s="35" customFormat="1" ht="18" customHeight="1">
      <c r="A67" s="165"/>
      <c r="B67" s="6" t="s">
        <v>90</v>
      </c>
      <c r="C67" s="135"/>
      <c r="D67" s="112"/>
      <c r="E67" s="113"/>
      <c r="F67" s="113"/>
      <c r="G67" s="113"/>
      <c r="H67" s="135"/>
      <c r="I67" s="112"/>
      <c r="J67" s="114"/>
      <c r="K67" s="115"/>
      <c r="L67" s="136"/>
      <c r="M67" s="135"/>
      <c r="N67" s="112"/>
      <c r="O67" s="114"/>
      <c r="P67" s="115"/>
      <c r="Q67" s="136"/>
      <c r="R67" s="25"/>
      <c r="S67" s="54"/>
      <c r="T67" s="114"/>
      <c r="U67" s="115"/>
      <c r="V67" s="136"/>
      <c r="W67" s="25">
        <v>18</v>
      </c>
      <c r="X67" s="54">
        <f>23221.55/W67</f>
        <v>1290.086111111111</v>
      </c>
      <c r="Y67" s="114"/>
      <c r="Z67" s="115"/>
      <c r="AA67" s="136"/>
      <c r="AB67" s="25">
        <v>23</v>
      </c>
      <c r="AC67" s="54">
        <f>27755.63/AB67</f>
        <v>1206.7665217391304</v>
      </c>
      <c r="AD67" s="114"/>
      <c r="AE67" s="115"/>
      <c r="AF67" s="136"/>
      <c r="AG67" s="25">
        <v>15</v>
      </c>
      <c r="AH67" s="25"/>
      <c r="AI67" s="54">
        <f>14578.33/AG67</f>
        <v>971.8886666666666</v>
      </c>
      <c r="AJ67" s="114"/>
      <c r="AK67" s="115"/>
      <c r="AL67" s="136"/>
    </row>
    <row r="68" spans="1:38" s="35" customFormat="1" ht="18" customHeight="1">
      <c r="A68" s="165"/>
      <c r="B68" s="6" t="s">
        <v>18</v>
      </c>
      <c r="C68" s="135"/>
      <c r="D68" s="112"/>
      <c r="E68" s="113"/>
      <c r="F68" s="113"/>
      <c r="G68" s="113"/>
      <c r="H68" s="135"/>
      <c r="I68" s="112"/>
      <c r="J68" s="114"/>
      <c r="K68" s="115"/>
      <c r="L68" s="136"/>
      <c r="M68" s="135"/>
      <c r="N68" s="112"/>
      <c r="O68" s="114"/>
      <c r="P68" s="115"/>
      <c r="Q68" s="136"/>
      <c r="R68" s="25">
        <v>1</v>
      </c>
      <c r="S68" s="54">
        <v>960</v>
      </c>
      <c r="T68" s="114"/>
      <c r="U68" s="115"/>
      <c r="V68" s="136"/>
      <c r="W68" s="25">
        <v>6</v>
      </c>
      <c r="X68" s="54">
        <f>10412.38/W68</f>
        <v>1735.3966666666665</v>
      </c>
      <c r="Y68" s="114"/>
      <c r="Z68" s="115"/>
      <c r="AA68" s="136"/>
      <c r="AB68" s="25">
        <v>16</v>
      </c>
      <c r="AC68" s="54">
        <f>20965.39/AB68</f>
        <v>1310.336875</v>
      </c>
      <c r="AD68" s="114"/>
      <c r="AE68" s="115"/>
      <c r="AF68" s="136"/>
      <c r="AG68" s="25">
        <v>11</v>
      </c>
      <c r="AH68" s="25"/>
      <c r="AI68" s="54">
        <f>14430.3/AG68</f>
        <v>1311.8454545454545</v>
      </c>
      <c r="AJ68" s="114"/>
      <c r="AK68" s="115"/>
      <c r="AL68" s="136"/>
    </row>
    <row r="69" spans="1:38" s="35" customFormat="1" ht="18" customHeight="1">
      <c r="A69" s="165"/>
      <c r="B69" s="69" t="s">
        <v>19</v>
      </c>
      <c r="C69" s="128">
        <f>SUM(C59:C68)</f>
        <v>0</v>
      </c>
      <c r="D69" s="128">
        <f aca="true" t="shared" si="0" ref="D69:R69">SUM(D59:D68)</f>
        <v>0</v>
      </c>
      <c r="E69" s="128">
        <f t="shared" si="0"/>
        <v>0</v>
      </c>
      <c r="F69" s="128">
        <f t="shared" si="0"/>
        <v>0</v>
      </c>
      <c r="G69" s="128">
        <f t="shared" si="0"/>
        <v>0</v>
      </c>
      <c r="H69" s="128">
        <f t="shared" si="0"/>
        <v>0</v>
      </c>
      <c r="I69" s="128">
        <f t="shared" si="0"/>
        <v>0</v>
      </c>
      <c r="J69" s="128">
        <f t="shared" si="0"/>
        <v>0</v>
      </c>
      <c r="K69" s="128">
        <f t="shared" si="0"/>
        <v>0</v>
      </c>
      <c r="L69" s="128">
        <f t="shared" si="0"/>
        <v>0</v>
      </c>
      <c r="M69" s="128">
        <f t="shared" si="0"/>
        <v>0</v>
      </c>
      <c r="N69" s="128">
        <f t="shared" si="0"/>
        <v>0</v>
      </c>
      <c r="O69" s="128">
        <f t="shared" si="0"/>
        <v>0</v>
      </c>
      <c r="P69" s="128">
        <f t="shared" si="0"/>
        <v>0</v>
      </c>
      <c r="Q69" s="128">
        <f t="shared" si="0"/>
        <v>0</v>
      </c>
      <c r="R69" s="128">
        <f t="shared" si="0"/>
        <v>10</v>
      </c>
      <c r="S69" s="20">
        <f>10505.5/R69</f>
        <v>1050.55</v>
      </c>
      <c r="T69" s="128"/>
      <c r="U69" s="128"/>
      <c r="V69" s="128"/>
      <c r="W69" s="128">
        <f>SUM(W59:W68)</f>
        <v>57</v>
      </c>
      <c r="X69" s="20">
        <f>90619.67/W69</f>
        <v>1589.8187719298246</v>
      </c>
      <c r="Y69" s="128"/>
      <c r="Z69" s="128"/>
      <c r="AA69" s="128"/>
      <c r="AB69" s="128">
        <f>SUM(AB59:AB68)</f>
        <v>92</v>
      </c>
      <c r="AC69" s="20">
        <f>138969.47/AB69</f>
        <v>1510.5377173913043</v>
      </c>
      <c r="AD69" s="128"/>
      <c r="AE69" s="128"/>
      <c r="AF69" s="128"/>
      <c r="AG69" s="128">
        <f>SUM(AG59:AG68)</f>
        <v>73</v>
      </c>
      <c r="AH69" s="128"/>
      <c r="AI69" s="20">
        <f>138969.47/AG69</f>
        <v>1903.6913698630137</v>
      </c>
      <c r="AJ69" s="128"/>
      <c r="AK69" s="128"/>
      <c r="AL69" s="128"/>
    </row>
    <row r="70" spans="1:38" ht="18" customHeight="1" hidden="1">
      <c r="A70" s="165" t="s">
        <v>61</v>
      </c>
      <c r="B70" s="6" t="s">
        <v>10</v>
      </c>
      <c r="C70" s="25">
        <v>3</v>
      </c>
      <c r="D70" s="54">
        <f>5390.45/C70</f>
        <v>1796.8166666666666</v>
      </c>
      <c r="E70" s="27"/>
      <c r="F70" s="28"/>
      <c r="G70" s="28"/>
      <c r="H70" s="25">
        <v>5</v>
      </c>
      <c r="I70" s="54">
        <f>3630/5</f>
        <v>726</v>
      </c>
      <c r="J70" s="66"/>
      <c r="K70" s="12"/>
      <c r="L70" s="9"/>
      <c r="M70" s="25">
        <v>12</v>
      </c>
      <c r="N70" s="54">
        <f>4654.19/M70</f>
        <v>387.84916666666663</v>
      </c>
      <c r="O70" s="66"/>
      <c r="P70" s="12"/>
      <c r="Q70" s="9"/>
      <c r="R70" s="25">
        <v>11</v>
      </c>
      <c r="S70" s="54">
        <f>7616.72/R70</f>
        <v>692.429090909091</v>
      </c>
      <c r="T70" s="66"/>
      <c r="U70" s="12"/>
      <c r="V70" s="9"/>
      <c r="W70" s="25"/>
      <c r="X70" s="54"/>
      <c r="Y70" s="66"/>
      <c r="Z70" s="12"/>
      <c r="AA70" s="9"/>
      <c r="AB70" s="25"/>
      <c r="AC70" s="54"/>
      <c r="AD70" s="66"/>
      <c r="AE70" s="12"/>
      <c r="AF70" s="9"/>
      <c r="AG70" s="25"/>
      <c r="AH70" s="25"/>
      <c r="AI70" s="54"/>
      <c r="AJ70" s="66"/>
      <c r="AK70" s="12"/>
      <c r="AL70" s="9"/>
    </row>
    <row r="71" spans="1:38" ht="18" customHeight="1">
      <c r="A71" s="165"/>
      <c r="B71" s="6" t="s">
        <v>11</v>
      </c>
      <c r="C71" s="25">
        <v>26</v>
      </c>
      <c r="D71" s="54">
        <f>35895.92/C71</f>
        <v>1380.6123076923077</v>
      </c>
      <c r="E71" s="27"/>
      <c r="F71" s="28"/>
      <c r="G71" s="28"/>
      <c r="H71" s="25">
        <v>49</v>
      </c>
      <c r="I71" s="54">
        <f>50910.39/49</f>
        <v>1038.987551020408</v>
      </c>
      <c r="J71" s="66"/>
      <c r="K71" s="12"/>
      <c r="L71" s="9"/>
      <c r="M71" s="25">
        <v>48</v>
      </c>
      <c r="N71" s="54">
        <f>63900.07/M71</f>
        <v>1331.2514583333334</v>
      </c>
      <c r="O71" s="66"/>
      <c r="P71" s="12"/>
      <c r="Q71" s="9"/>
      <c r="R71" s="25">
        <v>58</v>
      </c>
      <c r="S71" s="54">
        <f>65874.62/R71</f>
        <v>1135.7693103448275</v>
      </c>
      <c r="T71" s="66"/>
      <c r="U71" s="12"/>
      <c r="V71" s="9"/>
      <c r="W71" s="25">
        <v>65</v>
      </c>
      <c r="X71" s="54">
        <f>108114.68/W71</f>
        <v>1663.3027692307692</v>
      </c>
      <c r="Y71" s="66"/>
      <c r="Z71" s="12"/>
      <c r="AA71" s="9"/>
      <c r="AB71" s="25">
        <v>69</v>
      </c>
      <c r="AC71" s="54">
        <f>104935.61/AB71</f>
        <v>1520.8059420289856</v>
      </c>
      <c r="AD71" s="66"/>
      <c r="AE71" s="12"/>
      <c r="AF71" s="9"/>
      <c r="AG71" s="25">
        <v>62</v>
      </c>
      <c r="AH71" s="25"/>
      <c r="AI71" s="54">
        <f>85472.16/AG71</f>
        <v>1378.5832258064518</v>
      </c>
      <c r="AJ71" s="66"/>
      <c r="AK71" s="12"/>
      <c r="AL71" s="9"/>
    </row>
    <row r="72" spans="1:38" ht="18" customHeight="1" hidden="1">
      <c r="A72" s="165"/>
      <c r="B72" s="6" t="s">
        <v>12</v>
      </c>
      <c r="C72" s="25">
        <v>1</v>
      </c>
      <c r="D72" s="54">
        <f>100/C72</f>
        <v>100</v>
      </c>
      <c r="E72" s="27"/>
      <c r="F72" s="28"/>
      <c r="G72" s="28"/>
      <c r="H72" s="25">
        <v>2</v>
      </c>
      <c r="I72" s="54">
        <f>1900/2</f>
        <v>950</v>
      </c>
      <c r="J72" s="66"/>
      <c r="K72" s="13"/>
      <c r="L72" s="9"/>
      <c r="M72" s="25">
        <v>6</v>
      </c>
      <c r="N72" s="54">
        <f>4204.63/M72</f>
        <v>700.7716666666666</v>
      </c>
      <c r="O72" s="66"/>
      <c r="P72" s="13"/>
      <c r="Q72" s="9"/>
      <c r="R72" s="25">
        <v>3</v>
      </c>
      <c r="S72" s="54">
        <f>3750/R72</f>
        <v>1250</v>
      </c>
      <c r="T72" s="66"/>
      <c r="U72" s="13"/>
      <c r="V72" s="9"/>
      <c r="W72" s="25"/>
      <c r="X72" s="54"/>
      <c r="Y72" s="66"/>
      <c r="Z72" s="13"/>
      <c r="AA72" s="9"/>
      <c r="AB72" s="25"/>
      <c r="AC72" s="54"/>
      <c r="AD72" s="66"/>
      <c r="AE72" s="13"/>
      <c r="AF72" s="9"/>
      <c r="AG72" s="25"/>
      <c r="AH72" s="25"/>
      <c r="AI72" s="54"/>
      <c r="AJ72" s="66"/>
      <c r="AK72" s="13"/>
      <c r="AL72" s="9"/>
    </row>
    <row r="73" spans="1:38" ht="18" customHeight="1" hidden="1">
      <c r="A73" s="165"/>
      <c r="B73" s="6" t="s">
        <v>13</v>
      </c>
      <c r="C73" s="25">
        <v>5</v>
      </c>
      <c r="D73" s="54">
        <f>6338.2/C73</f>
        <v>1267.6399999999999</v>
      </c>
      <c r="E73" s="27"/>
      <c r="F73" s="28"/>
      <c r="G73" s="28"/>
      <c r="H73" s="25">
        <v>9</v>
      </c>
      <c r="I73" s="54">
        <f>6012.8/9</f>
        <v>668.088888888889</v>
      </c>
      <c r="J73" s="66"/>
      <c r="K73" s="12"/>
      <c r="L73" s="9"/>
      <c r="M73" s="25">
        <v>8</v>
      </c>
      <c r="N73" s="54">
        <f>6130.26/M73</f>
        <v>766.2825</v>
      </c>
      <c r="O73" s="66"/>
      <c r="P73" s="12"/>
      <c r="Q73" s="9"/>
      <c r="R73" s="25">
        <v>11</v>
      </c>
      <c r="S73" s="54">
        <f>6884/R73</f>
        <v>625.8181818181819</v>
      </c>
      <c r="T73" s="66"/>
      <c r="U73" s="12"/>
      <c r="V73" s="9"/>
      <c r="W73" s="25"/>
      <c r="X73" s="54"/>
      <c r="Y73" s="66"/>
      <c r="Z73" s="12"/>
      <c r="AA73" s="9"/>
      <c r="AB73" s="25"/>
      <c r="AC73" s="54"/>
      <c r="AD73" s="66"/>
      <c r="AE73" s="12"/>
      <c r="AF73" s="9"/>
      <c r="AG73" s="25"/>
      <c r="AH73" s="25"/>
      <c r="AI73" s="54"/>
      <c r="AJ73" s="66"/>
      <c r="AK73" s="12"/>
      <c r="AL73" s="9"/>
    </row>
    <row r="74" spans="1:38" ht="18" customHeight="1">
      <c r="A74" s="165"/>
      <c r="B74" s="6" t="s">
        <v>14</v>
      </c>
      <c r="C74" s="25">
        <v>1</v>
      </c>
      <c r="D74" s="54">
        <f>350/C74</f>
        <v>350</v>
      </c>
      <c r="E74" s="27"/>
      <c r="F74" s="28"/>
      <c r="G74" s="28"/>
      <c r="H74" s="25">
        <v>2</v>
      </c>
      <c r="I74" s="54">
        <f>750/2</f>
        <v>375</v>
      </c>
      <c r="J74" s="66"/>
      <c r="K74" s="12"/>
      <c r="L74" s="9"/>
      <c r="M74" s="25">
        <v>3</v>
      </c>
      <c r="N74" s="54">
        <f>3249.58/M74</f>
        <v>1083.1933333333334</v>
      </c>
      <c r="O74" s="66"/>
      <c r="P74" s="12"/>
      <c r="Q74" s="9"/>
      <c r="R74" s="25">
        <v>2</v>
      </c>
      <c r="S74" s="54">
        <f>500/R74</f>
        <v>250</v>
      </c>
      <c r="T74" s="66"/>
      <c r="U74" s="12"/>
      <c r="V74" s="9"/>
      <c r="W74" s="25">
        <v>1</v>
      </c>
      <c r="X74" s="54">
        <v>800</v>
      </c>
      <c r="Y74" s="66"/>
      <c r="Z74" s="12"/>
      <c r="AA74" s="9"/>
      <c r="AB74" s="25">
        <v>1</v>
      </c>
      <c r="AC74" s="54">
        <f>150/AB74</f>
        <v>150</v>
      </c>
      <c r="AD74" s="66"/>
      <c r="AE74" s="12"/>
      <c r="AF74" s="9"/>
      <c r="AG74" s="25">
        <v>6</v>
      </c>
      <c r="AH74" s="25"/>
      <c r="AI74" s="54">
        <f>2787/AG74</f>
        <v>464.5</v>
      </c>
      <c r="AJ74" s="66"/>
      <c r="AK74" s="12"/>
      <c r="AL74" s="9"/>
    </row>
    <row r="75" spans="1:38" ht="18" customHeight="1" hidden="1">
      <c r="A75" s="165"/>
      <c r="B75" s="6" t="s">
        <v>15</v>
      </c>
      <c r="C75" s="25">
        <v>1</v>
      </c>
      <c r="D75" s="54">
        <f>800/C75</f>
        <v>800</v>
      </c>
      <c r="E75" s="27"/>
      <c r="F75" s="28"/>
      <c r="G75" s="28"/>
      <c r="H75" s="25">
        <v>1</v>
      </c>
      <c r="I75" s="54">
        <v>1000</v>
      </c>
      <c r="J75" s="66"/>
      <c r="K75" s="12"/>
      <c r="L75" s="9"/>
      <c r="M75" s="25"/>
      <c r="N75" s="54">
        <v>1000</v>
      </c>
      <c r="O75" s="66"/>
      <c r="P75" s="12"/>
      <c r="Q75" s="9"/>
      <c r="R75" s="25">
        <v>4</v>
      </c>
      <c r="S75" s="54">
        <f>1633.15/R75</f>
        <v>408.2875</v>
      </c>
      <c r="T75" s="66"/>
      <c r="U75" s="12"/>
      <c r="V75" s="9"/>
      <c r="W75" s="25"/>
      <c r="X75" s="54"/>
      <c r="Y75" s="66"/>
      <c r="Z75" s="12"/>
      <c r="AA75" s="9"/>
      <c r="AB75" s="25"/>
      <c r="AC75" s="54"/>
      <c r="AD75" s="66"/>
      <c r="AE75" s="12"/>
      <c r="AF75" s="9"/>
      <c r="AG75" s="25"/>
      <c r="AH75" s="25"/>
      <c r="AI75" s="54"/>
      <c r="AJ75" s="66"/>
      <c r="AK75" s="12"/>
      <c r="AL75" s="9"/>
    </row>
    <row r="76" spans="1:38" ht="18" customHeight="1">
      <c r="A76" s="165"/>
      <c r="B76" s="6" t="s">
        <v>16</v>
      </c>
      <c r="C76" s="25">
        <v>29</v>
      </c>
      <c r="D76" s="54">
        <f>25395/C76</f>
        <v>875.6896551724138</v>
      </c>
      <c r="E76" s="27"/>
      <c r="F76" s="28"/>
      <c r="G76" s="28"/>
      <c r="H76" s="25">
        <v>32</v>
      </c>
      <c r="I76" s="54">
        <f>27929.04/32</f>
        <v>872.7825</v>
      </c>
      <c r="J76" s="66"/>
      <c r="K76" s="12"/>
      <c r="L76" s="9"/>
      <c r="M76" s="25">
        <v>30</v>
      </c>
      <c r="N76" s="54">
        <f>23165.83/M76</f>
        <v>772.1943333333334</v>
      </c>
      <c r="O76" s="66"/>
      <c r="P76" s="12"/>
      <c r="Q76" s="9"/>
      <c r="R76" s="25">
        <v>31</v>
      </c>
      <c r="S76" s="54">
        <f>18406.65/R76</f>
        <v>593.7629032258066</v>
      </c>
      <c r="T76" s="66"/>
      <c r="U76" s="12"/>
      <c r="V76" s="9"/>
      <c r="W76" s="25">
        <v>17</v>
      </c>
      <c r="X76" s="54">
        <f>12464.98/W76</f>
        <v>733.2341176470588</v>
      </c>
      <c r="Y76" s="66"/>
      <c r="Z76" s="12"/>
      <c r="AA76" s="9"/>
      <c r="AB76" s="25">
        <v>19</v>
      </c>
      <c r="AC76" s="54">
        <f>11380.92/AB76</f>
        <v>598.9957894736842</v>
      </c>
      <c r="AD76" s="66"/>
      <c r="AE76" s="12"/>
      <c r="AF76" s="9"/>
      <c r="AG76" s="25">
        <v>21</v>
      </c>
      <c r="AH76" s="25"/>
      <c r="AI76" s="54">
        <f>11123.78/AG76</f>
        <v>529.7038095238096</v>
      </c>
      <c r="AJ76" s="66"/>
      <c r="AK76" s="12"/>
      <c r="AL76" s="9"/>
    </row>
    <row r="77" spans="1:38" ht="18" customHeight="1" hidden="1">
      <c r="A77" s="165"/>
      <c r="B77" s="6" t="s">
        <v>17</v>
      </c>
      <c r="C77" s="25"/>
      <c r="D77" s="26"/>
      <c r="E77" s="27"/>
      <c r="F77" s="28"/>
      <c r="G77" s="28"/>
      <c r="H77" s="25"/>
      <c r="I77" s="54"/>
      <c r="J77" s="66"/>
      <c r="K77" s="12"/>
      <c r="L77" s="9"/>
      <c r="M77" s="25">
        <v>1</v>
      </c>
      <c r="N77" s="54">
        <f>200/M77</f>
        <v>200</v>
      </c>
      <c r="O77" s="66"/>
      <c r="P77" s="12"/>
      <c r="Q77" s="9"/>
      <c r="R77" s="25">
        <v>2</v>
      </c>
      <c r="S77" s="54">
        <f>451/R77</f>
        <v>225.5</v>
      </c>
      <c r="T77" s="66"/>
      <c r="U77" s="12"/>
      <c r="V77" s="9"/>
      <c r="W77" s="25"/>
      <c r="X77" s="54"/>
      <c r="Y77" s="66"/>
      <c r="Z77" s="12"/>
      <c r="AA77" s="9"/>
      <c r="AB77" s="25"/>
      <c r="AC77" s="54"/>
      <c r="AD77" s="66"/>
      <c r="AE77" s="12"/>
      <c r="AF77" s="9"/>
      <c r="AG77" s="25"/>
      <c r="AH77" s="25"/>
      <c r="AI77" s="54"/>
      <c r="AJ77" s="66"/>
      <c r="AK77" s="12"/>
      <c r="AL77" s="9"/>
    </row>
    <row r="78" spans="1:38" ht="18" customHeight="1">
      <c r="A78" s="165"/>
      <c r="B78" s="6" t="s">
        <v>90</v>
      </c>
      <c r="C78" s="25"/>
      <c r="D78" s="26"/>
      <c r="E78" s="27"/>
      <c r="F78" s="28"/>
      <c r="G78" s="28"/>
      <c r="H78" s="25"/>
      <c r="I78" s="54"/>
      <c r="J78" s="66"/>
      <c r="K78" s="12"/>
      <c r="L78" s="9"/>
      <c r="M78" s="25"/>
      <c r="N78" s="54"/>
      <c r="O78" s="66"/>
      <c r="P78" s="12"/>
      <c r="Q78" s="9"/>
      <c r="R78" s="25"/>
      <c r="S78" s="54"/>
      <c r="T78" s="66"/>
      <c r="U78" s="12"/>
      <c r="V78" s="9"/>
      <c r="W78" s="25">
        <v>27</v>
      </c>
      <c r="X78" s="54">
        <f>31313.08/W78</f>
        <v>1159.7437037037037</v>
      </c>
      <c r="Y78" s="66"/>
      <c r="Z78" s="12"/>
      <c r="AA78" s="9"/>
      <c r="AB78" s="25">
        <v>36</v>
      </c>
      <c r="AC78" s="54">
        <f>27163.88/AB78</f>
        <v>754.5522222222222</v>
      </c>
      <c r="AD78" s="66"/>
      <c r="AE78" s="12"/>
      <c r="AF78" s="9"/>
      <c r="AG78" s="25">
        <v>29</v>
      </c>
      <c r="AH78" s="25"/>
      <c r="AI78" s="54">
        <f>16245.49/AG78</f>
        <v>560.1893103448276</v>
      </c>
      <c r="AJ78" s="66"/>
      <c r="AK78" s="12"/>
      <c r="AL78" s="9"/>
    </row>
    <row r="79" spans="1:38" ht="18" customHeight="1">
      <c r="A79" s="165"/>
      <c r="B79" s="6" t="s">
        <v>18</v>
      </c>
      <c r="C79" s="25">
        <v>4</v>
      </c>
      <c r="D79" s="54">
        <f>999.4/C79</f>
        <v>249.85</v>
      </c>
      <c r="E79" s="27"/>
      <c r="F79" s="28"/>
      <c r="G79" s="28"/>
      <c r="H79" s="25">
        <v>4</v>
      </c>
      <c r="I79" s="54">
        <f>2000/4</f>
        <v>500</v>
      </c>
      <c r="J79" s="66"/>
      <c r="K79" s="12"/>
      <c r="L79" s="9"/>
      <c r="M79" s="25">
        <v>7</v>
      </c>
      <c r="N79" s="54">
        <f>2200/M79</f>
        <v>314.2857142857143</v>
      </c>
      <c r="O79" s="66"/>
      <c r="P79" s="12"/>
      <c r="Q79" s="9"/>
      <c r="R79" s="25">
        <v>6</v>
      </c>
      <c r="S79" s="54">
        <f>2150/R79</f>
        <v>358.3333333333333</v>
      </c>
      <c r="T79" s="66"/>
      <c r="U79" s="12"/>
      <c r="V79" s="9"/>
      <c r="W79" s="25">
        <v>11</v>
      </c>
      <c r="X79" s="54">
        <f>6200/W79</f>
        <v>563.6363636363636</v>
      </c>
      <c r="Y79" s="66"/>
      <c r="Z79" s="12"/>
      <c r="AA79" s="9"/>
      <c r="AB79" s="25">
        <v>14</v>
      </c>
      <c r="AC79" s="54">
        <f>10459/AB79</f>
        <v>747.0714285714286</v>
      </c>
      <c r="AD79" s="66"/>
      <c r="AE79" s="12"/>
      <c r="AF79" s="9"/>
      <c r="AG79" s="25">
        <v>17</v>
      </c>
      <c r="AH79" s="25"/>
      <c r="AI79" s="54">
        <f>7500/AG79</f>
        <v>441.1764705882353</v>
      </c>
      <c r="AJ79" s="66"/>
      <c r="AK79" s="12"/>
      <c r="AL79" s="9"/>
    </row>
    <row r="80" spans="1:38" ht="18" customHeight="1">
      <c r="A80" s="165"/>
      <c r="B80" s="69" t="s">
        <v>19</v>
      </c>
      <c r="C80" s="128">
        <f>SUM(C70:C79)</f>
        <v>70</v>
      </c>
      <c r="D80" s="20">
        <v>1075.271</v>
      </c>
      <c r="E80" s="5"/>
      <c r="F80" s="5"/>
      <c r="G80" s="5"/>
      <c r="H80" s="128">
        <f>SUM(H70:H79)</f>
        <v>104</v>
      </c>
      <c r="I80" s="20">
        <v>905.1175961538461</v>
      </c>
      <c r="J80" s="49"/>
      <c r="K80" s="2"/>
      <c r="L80" s="3"/>
      <c r="M80" s="128">
        <f>SUM(M70:M79)</f>
        <v>115</v>
      </c>
      <c r="N80" s="20">
        <v>936.56</v>
      </c>
      <c r="O80" s="49"/>
      <c r="P80" s="2"/>
      <c r="Q80" s="3"/>
      <c r="R80" s="128">
        <f>SUM(R70:R79)</f>
        <v>128</v>
      </c>
      <c r="S80" s="20">
        <f>107266.14/R80</f>
        <v>838.01671875</v>
      </c>
      <c r="T80" s="49"/>
      <c r="U80" s="2"/>
      <c r="V80" s="3"/>
      <c r="W80" s="128">
        <f>SUM(W70:W79)</f>
        <v>121</v>
      </c>
      <c r="X80" s="20">
        <f>158892.74/W80</f>
        <v>1313.1631404958678</v>
      </c>
      <c r="Y80" s="49"/>
      <c r="Z80" s="2"/>
      <c r="AA80" s="3"/>
      <c r="AB80" s="128">
        <f>SUM(AB70:AB79)</f>
        <v>139</v>
      </c>
      <c r="AC80" s="20">
        <f>154089.41/AB80</f>
        <v>1108.5569064748202</v>
      </c>
      <c r="AD80" s="49"/>
      <c r="AE80" s="2"/>
      <c r="AF80" s="3"/>
      <c r="AG80" s="128">
        <f>SUM(AG70:AG79)</f>
        <v>135</v>
      </c>
      <c r="AH80" s="128"/>
      <c r="AI80" s="20">
        <f>154089.41/AG80</f>
        <v>1141.4030370370372</v>
      </c>
      <c r="AJ80" s="49"/>
      <c r="AK80" s="2"/>
      <c r="AL80" s="3"/>
    </row>
    <row r="81" spans="1:38" ht="18" customHeight="1" hidden="1">
      <c r="A81" s="165" t="s">
        <v>62</v>
      </c>
      <c r="B81" s="6" t="s">
        <v>10</v>
      </c>
      <c r="C81" s="25"/>
      <c r="D81" s="54"/>
      <c r="E81" s="10"/>
      <c r="F81" s="28"/>
      <c r="G81" s="28"/>
      <c r="H81" s="25"/>
      <c r="I81" s="26"/>
      <c r="J81" s="47"/>
      <c r="K81" s="12"/>
      <c r="L81" s="9"/>
      <c r="M81" s="25"/>
      <c r="N81" s="26"/>
      <c r="O81" s="47"/>
      <c r="P81" s="12"/>
      <c r="Q81" s="9"/>
      <c r="R81" s="25">
        <v>0</v>
      </c>
      <c r="S81" s="26"/>
      <c r="T81" s="47"/>
      <c r="U81" s="12"/>
      <c r="V81" s="9"/>
      <c r="W81" s="25"/>
      <c r="X81" s="26"/>
      <c r="Y81" s="47"/>
      <c r="Z81" s="12"/>
      <c r="AA81" s="9"/>
      <c r="AB81" s="25"/>
      <c r="AC81" s="26"/>
      <c r="AD81" s="47"/>
      <c r="AE81" s="12"/>
      <c r="AF81" s="9"/>
      <c r="AG81" s="25"/>
      <c r="AH81" s="25"/>
      <c r="AI81" s="26"/>
      <c r="AJ81" s="47"/>
      <c r="AK81" s="12"/>
      <c r="AL81" s="9"/>
    </row>
    <row r="82" spans="1:38" ht="18" customHeight="1">
      <c r="A82" s="165"/>
      <c r="B82" s="6" t="s">
        <v>11</v>
      </c>
      <c r="C82" s="25">
        <v>2</v>
      </c>
      <c r="D82" s="54">
        <f>11095.2/C82</f>
        <v>5547.6</v>
      </c>
      <c r="E82" s="27"/>
      <c r="F82" s="28"/>
      <c r="G82" s="28"/>
      <c r="H82" s="25">
        <v>2</v>
      </c>
      <c r="I82" s="54">
        <f>3251.73/2</f>
        <v>1625.865</v>
      </c>
      <c r="J82" s="66"/>
      <c r="K82" s="12"/>
      <c r="L82" s="9"/>
      <c r="M82" s="25">
        <v>4</v>
      </c>
      <c r="N82" s="54">
        <f>22468.28/2</f>
        <v>11234.14</v>
      </c>
      <c r="O82" s="66"/>
      <c r="P82" s="12"/>
      <c r="Q82" s="9"/>
      <c r="R82" s="25">
        <v>4</v>
      </c>
      <c r="S82" s="54">
        <f>16171.17/R82</f>
        <v>4042.7925</v>
      </c>
      <c r="T82" s="66"/>
      <c r="U82" s="12"/>
      <c r="V82" s="9"/>
      <c r="W82" s="25">
        <v>3</v>
      </c>
      <c r="X82" s="54">
        <f>52391.87/W82</f>
        <v>17463.95666666667</v>
      </c>
      <c r="Y82" s="66"/>
      <c r="Z82" s="12"/>
      <c r="AA82" s="9"/>
      <c r="AB82" s="25">
        <v>3</v>
      </c>
      <c r="AC82" s="54">
        <f>14378.37/AB82</f>
        <v>4792.79</v>
      </c>
      <c r="AD82" s="66"/>
      <c r="AE82" s="12"/>
      <c r="AF82" s="9"/>
      <c r="AG82" s="25">
        <v>2</v>
      </c>
      <c r="AH82" s="25"/>
      <c r="AI82" s="54">
        <f>3453.14/AG82</f>
        <v>1726.57</v>
      </c>
      <c r="AJ82" s="66"/>
      <c r="AK82" s="12"/>
      <c r="AL82" s="9"/>
    </row>
    <row r="83" spans="1:38" ht="18" customHeight="1" hidden="1">
      <c r="A83" s="165"/>
      <c r="B83" s="6" t="s">
        <v>12</v>
      </c>
      <c r="C83" s="25"/>
      <c r="D83" s="54"/>
      <c r="E83" s="10"/>
      <c r="F83" s="28"/>
      <c r="G83" s="28"/>
      <c r="H83" s="25">
        <v>1</v>
      </c>
      <c r="I83" s="54">
        <v>1434.18</v>
      </c>
      <c r="J83" s="66"/>
      <c r="K83" s="13"/>
      <c r="L83" s="9"/>
      <c r="M83" s="25"/>
      <c r="N83" s="54"/>
      <c r="O83" s="66"/>
      <c r="P83" s="13"/>
      <c r="Q83" s="9"/>
      <c r="R83" s="25">
        <v>0</v>
      </c>
      <c r="S83" s="54"/>
      <c r="T83" s="66"/>
      <c r="U83" s="13"/>
      <c r="V83" s="9"/>
      <c r="W83" s="25"/>
      <c r="X83" s="54"/>
      <c r="Y83" s="66"/>
      <c r="Z83" s="13"/>
      <c r="AA83" s="9"/>
      <c r="AB83" s="25"/>
      <c r="AC83" s="54"/>
      <c r="AD83" s="66"/>
      <c r="AE83" s="13"/>
      <c r="AF83" s="9"/>
      <c r="AG83" s="25"/>
      <c r="AH83" s="25"/>
      <c r="AI83" s="54"/>
      <c r="AJ83" s="66"/>
      <c r="AK83" s="13"/>
      <c r="AL83" s="9"/>
    </row>
    <row r="84" spans="1:38" ht="18" customHeight="1" hidden="1">
      <c r="A84" s="165"/>
      <c r="B84" s="6" t="s">
        <v>13</v>
      </c>
      <c r="C84" s="25"/>
      <c r="D84" s="54"/>
      <c r="E84" s="10"/>
      <c r="F84" s="28"/>
      <c r="G84" s="28"/>
      <c r="H84" s="25"/>
      <c r="I84" s="54"/>
      <c r="J84" s="66"/>
      <c r="K84" s="12"/>
      <c r="L84" s="9"/>
      <c r="M84" s="25">
        <v>2</v>
      </c>
      <c r="N84" s="54">
        <f>8851.69/M84</f>
        <v>4425.845</v>
      </c>
      <c r="O84" s="66"/>
      <c r="P84" s="12"/>
      <c r="Q84" s="9"/>
      <c r="R84" s="25">
        <v>2</v>
      </c>
      <c r="S84" s="54">
        <f>8452.87/R84</f>
        <v>4226.435</v>
      </c>
      <c r="T84" s="66"/>
      <c r="U84" s="12"/>
      <c r="V84" s="9"/>
      <c r="W84" s="25"/>
      <c r="X84" s="54"/>
      <c r="Y84" s="66"/>
      <c r="Z84" s="12"/>
      <c r="AA84" s="9"/>
      <c r="AB84" s="25"/>
      <c r="AC84" s="54"/>
      <c r="AD84" s="66"/>
      <c r="AE84" s="12"/>
      <c r="AF84" s="9"/>
      <c r="AG84" s="25"/>
      <c r="AH84" s="25"/>
      <c r="AI84" s="54"/>
      <c r="AJ84" s="66"/>
      <c r="AK84" s="12"/>
      <c r="AL84" s="9"/>
    </row>
    <row r="85" spans="1:38" ht="18" customHeight="1">
      <c r="A85" s="165"/>
      <c r="B85" s="6" t="s">
        <v>14</v>
      </c>
      <c r="C85" s="25"/>
      <c r="D85" s="54"/>
      <c r="E85" s="10"/>
      <c r="F85" s="28"/>
      <c r="G85" s="28"/>
      <c r="H85" s="25"/>
      <c r="I85" s="54"/>
      <c r="J85" s="66"/>
      <c r="K85" s="12"/>
      <c r="L85" s="9"/>
      <c r="M85" s="25"/>
      <c r="N85" s="54"/>
      <c r="O85" s="66"/>
      <c r="P85" s="12"/>
      <c r="Q85" s="9"/>
      <c r="R85" s="25">
        <v>0</v>
      </c>
      <c r="S85" s="54"/>
      <c r="T85" s="66"/>
      <c r="U85" s="12"/>
      <c r="V85" s="9"/>
      <c r="W85" s="25">
        <v>1</v>
      </c>
      <c r="X85" s="54">
        <f>49416.34/W85</f>
        <v>49416.34</v>
      </c>
      <c r="Y85" s="66"/>
      <c r="Z85" s="12"/>
      <c r="AA85" s="9"/>
      <c r="AB85" s="25">
        <v>1</v>
      </c>
      <c r="AC85" s="54">
        <f>8201.34/AB85</f>
        <v>8201.34</v>
      </c>
      <c r="AD85" s="66"/>
      <c r="AE85" s="12"/>
      <c r="AF85" s="9"/>
      <c r="AG85" s="25">
        <v>1</v>
      </c>
      <c r="AH85" s="25"/>
      <c r="AI85" s="54">
        <v>544</v>
      </c>
      <c r="AJ85" s="66"/>
      <c r="AK85" s="12"/>
      <c r="AL85" s="9"/>
    </row>
    <row r="86" spans="1:38" ht="18" customHeight="1" hidden="1">
      <c r="A86" s="165"/>
      <c r="B86" s="6" t="s">
        <v>15</v>
      </c>
      <c r="C86" s="25">
        <v>1</v>
      </c>
      <c r="D86" s="54">
        <f>9015.5/C86</f>
        <v>9015.5</v>
      </c>
      <c r="E86" s="27"/>
      <c r="F86" s="28"/>
      <c r="G86" s="28"/>
      <c r="H86" s="25">
        <v>1</v>
      </c>
      <c r="I86" s="54">
        <v>3606.21</v>
      </c>
      <c r="J86" s="66"/>
      <c r="K86" s="12"/>
      <c r="L86" s="9"/>
      <c r="M86" s="25">
        <v>1</v>
      </c>
      <c r="N86" s="54">
        <f>3697.57/M86</f>
        <v>3697.57</v>
      </c>
      <c r="O86" s="66"/>
      <c r="P86" s="12"/>
      <c r="Q86" s="9"/>
      <c r="R86" s="25">
        <v>1</v>
      </c>
      <c r="S86" s="54">
        <v>3754.33</v>
      </c>
      <c r="T86" s="66"/>
      <c r="U86" s="12"/>
      <c r="V86" s="9"/>
      <c r="W86" s="25"/>
      <c r="X86" s="54"/>
      <c r="Y86" s="66"/>
      <c r="Z86" s="12"/>
      <c r="AA86" s="9"/>
      <c r="AB86" s="25"/>
      <c r="AC86" s="54"/>
      <c r="AD86" s="66"/>
      <c r="AE86" s="12"/>
      <c r="AF86" s="9"/>
      <c r="AG86" s="25"/>
      <c r="AH86" s="25"/>
      <c r="AI86" s="54"/>
      <c r="AJ86" s="66"/>
      <c r="AK86" s="12"/>
      <c r="AL86" s="9"/>
    </row>
    <row r="87" spans="1:38" ht="18" customHeight="1">
      <c r="A87" s="165"/>
      <c r="B87" s="6" t="s">
        <v>16</v>
      </c>
      <c r="C87" s="25">
        <v>1</v>
      </c>
      <c r="D87" s="54">
        <f>22806.1/C87</f>
        <v>22806.1</v>
      </c>
      <c r="E87" s="27"/>
      <c r="F87" s="28"/>
      <c r="G87" s="28"/>
      <c r="H87" s="25">
        <v>1</v>
      </c>
      <c r="I87" s="54">
        <v>4999.63</v>
      </c>
      <c r="J87" s="66"/>
      <c r="K87" s="12"/>
      <c r="L87" s="9"/>
      <c r="M87" s="25">
        <v>1</v>
      </c>
      <c r="N87" s="54">
        <f>5003.74/M87</f>
        <v>5003.74</v>
      </c>
      <c r="O87" s="66"/>
      <c r="P87" s="12"/>
      <c r="Q87" s="9"/>
      <c r="R87" s="25">
        <v>1</v>
      </c>
      <c r="S87" s="54">
        <v>5132.04</v>
      </c>
      <c r="T87" s="66"/>
      <c r="U87" s="12"/>
      <c r="V87" s="9"/>
      <c r="W87" s="25">
        <v>1</v>
      </c>
      <c r="X87" s="54">
        <f>5132.04/W87</f>
        <v>5132.04</v>
      </c>
      <c r="Y87" s="66"/>
      <c r="Z87" s="12"/>
      <c r="AA87" s="9"/>
      <c r="AB87" s="25">
        <v>1</v>
      </c>
      <c r="AC87" s="54">
        <f>5181.36/AB87</f>
        <v>5181.36</v>
      </c>
      <c r="AD87" s="66"/>
      <c r="AE87" s="12"/>
      <c r="AF87" s="9"/>
      <c r="AG87" s="25">
        <v>3</v>
      </c>
      <c r="AH87" s="25"/>
      <c r="AI87" s="54">
        <v>8663.86</v>
      </c>
      <c r="AJ87" s="66"/>
      <c r="AK87" s="12"/>
      <c r="AL87" s="9"/>
    </row>
    <row r="88" spans="1:38" ht="18" customHeight="1" hidden="1">
      <c r="A88" s="165"/>
      <c r="B88" s="6" t="s">
        <v>17</v>
      </c>
      <c r="C88" s="25"/>
      <c r="D88" s="54"/>
      <c r="E88" s="27"/>
      <c r="F88" s="28"/>
      <c r="G88" s="28"/>
      <c r="H88" s="25"/>
      <c r="I88" s="54"/>
      <c r="J88" s="66"/>
      <c r="K88" s="12"/>
      <c r="L88" s="9"/>
      <c r="M88" s="25"/>
      <c r="N88" s="54"/>
      <c r="O88" s="66"/>
      <c r="P88" s="12"/>
      <c r="Q88" s="9"/>
      <c r="R88" s="25">
        <v>0</v>
      </c>
      <c r="S88" s="54"/>
      <c r="T88" s="66"/>
      <c r="U88" s="12"/>
      <c r="V88" s="9"/>
      <c r="W88" s="25"/>
      <c r="X88" s="54"/>
      <c r="Y88" s="66"/>
      <c r="Z88" s="12"/>
      <c r="AA88" s="9"/>
      <c r="AB88" s="25"/>
      <c r="AC88" s="54"/>
      <c r="AD88" s="66"/>
      <c r="AE88" s="12"/>
      <c r="AF88" s="9"/>
      <c r="AG88" s="25"/>
      <c r="AH88" s="25"/>
      <c r="AI88" s="54"/>
      <c r="AJ88" s="66"/>
      <c r="AK88" s="12"/>
      <c r="AL88" s="9"/>
    </row>
    <row r="89" spans="1:38" ht="18" customHeight="1">
      <c r="A89" s="165"/>
      <c r="B89" s="6" t="s">
        <v>90</v>
      </c>
      <c r="C89" s="25"/>
      <c r="D89" s="54"/>
      <c r="E89" s="27"/>
      <c r="F89" s="28"/>
      <c r="G89" s="28"/>
      <c r="H89" s="25"/>
      <c r="I89" s="54"/>
      <c r="J89" s="66"/>
      <c r="K89" s="12"/>
      <c r="L89" s="9"/>
      <c r="M89" s="25"/>
      <c r="N89" s="54"/>
      <c r="O89" s="66"/>
      <c r="P89" s="12"/>
      <c r="Q89" s="9"/>
      <c r="R89" s="25"/>
      <c r="S89" s="54"/>
      <c r="T89" s="66"/>
      <c r="U89" s="12"/>
      <c r="V89" s="9"/>
      <c r="W89" s="25">
        <v>5</v>
      </c>
      <c r="X89" s="54">
        <f>48347.83/W89</f>
        <v>9669.566</v>
      </c>
      <c r="Y89" s="66"/>
      <c r="Z89" s="12"/>
      <c r="AA89" s="9"/>
      <c r="AB89" s="25">
        <v>4</v>
      </c>
      <c r="AC89" s="54">
        <f>22386.15/AB89</f>
        <v>5596.5375</v>
      </c>
      <c r="AD89" s="66"/>
      <c r="AE89" s="12"/>
      <c r="AF89" s="9"/>
      <c r="AG89" s="25">
        <v>8</v>
      </c>
      <c r="AH89" s="25"/>
      <c r="AI89" s="54">
        <f>42552.37/AG89</f>
        <v>5319.04625</v>
      </c>
      <c r="AJ89" s="66"/>
      <c r="AK89" s="12"/>
      <c r="AL89" s="9"/>
    </row>
    <row r="90" spans="1:38" ht="18" customHeight="1">
      <c r="A90" s="165"/>
      <c r="B90" s="6" t="s">
        <v>18</v>
      </c>
      <c r="C90" s="25">
        <v>3</v>
      </c>
      <c r="D90" s="54">
        <f>20885.52/C90</f>
        <v>6961.84</v>
      </c>
      <c r="E90" s="27"/>
      <c r="F90" s="28"/>
      <c r="G90" s="28"/>
      <c r="H90" s="25">
        <v>2</v>
      </c>
      <c r="I90" s="54">
        <f>7333.2/2</f>
        <v>3666.6</v>
      </c>
      <c r="J90" s="66"/>
      <c r="K90" s="12"/>
      <c r="L90" s="9"/>
      <c r="M90" s="25">
        <v>2</v>
      </c>
      <c r="N90" s="54">
        <f>3029.36/M90</f>
        <v>1514.68</v>
      </c>
      <c r="O90" s="66"/>
      <c r="P90" s="12"/>
      <c r="Q90" s="9"/>
      <c r="R90" s="25">
        <v>2</v>
      </c>
      <c r="S90" s="54">
        <f>7516.55/R90</f>
        <v>3758.275</v>
      </c>
      <c r="T90" s="66"/>
      <c r="U90" s="12"/>
      <c r="V90" s="9"/>
      <c r="W90" s="25">
        <v>2</v>
      </c>
      <c r="X90" s="54">
        <f>3975.01/W90</f>
        <v>1987.505</v>
      </c>
      <c r="Y90" s="66"/>
      <c r="Z90" s="12"/>
      <c r="AA90" s="9"/>
      <c r="AB90" s="25">
        <v>3</v>
      </c>
      <c r="AC90" s="54">
        <f>9164.82/AB90</f>
        <v>3054.94</v>
      </c>
      <c r="AD90" s="66"/>
      <c r="AE90" s="12"/>
      <c r="AF90" s="9"/>
      <c r="AG90" s="25">
        <v>4</v>
      </c>
      <c r="AH90" s="25"/>
      <c r="AI90" s="54">
        <f>11807.5/AG90</f>
        <v>2951.875</v>
      </c>
      <c r="AJ90" s="66"/>
      <c r="AK90" s="12"/>
      <c r="AL90" s="9"/>
    </row>
    <row r="91" spans="1:38" ht="18" customHeight="1">
      <c r="A91" s="165"/>
      <c r="B91" s="69" t="s">
        <v>19</v>
      </c>
      <c r="C91" s="128">
        <f>SUM(C81:C90)</f>
        <v>7</v>
      </c>
      <c r="D91" s="20">
        <v>9114.617142857143</v>
      </c>
      <c r="E91" s="5"/>
      <c r="F91" s="5"/>
      <c r="G91" s="5"/>
      <c r="H91" s="128">
        <f>SUM(H81:H90)</f>
        <v>7</v>
      </c>
      <c r="I91" s="20">
        <v>2946.421428571429</v>
      </c>
      <c r="J91" s="49"/>
      <c r="K91" s="2"/>
      <c r="L91" s="3"/>
      <c r="M91" s="128">
        <f>SUM(M81:M90)</f>
        <v>10</v>
      </c>
      <c r="N91" s="20">
        <v>4305</v>
      </c>
      <c r="O91" s="49"/>
      <c r="P91" s="2"/>
      <c r="Q91" s="3"/>
      <c r="R91" s="128">
        <f>SUM(R81:R90)</f>
        <v>10</v>
      </c>
      <c r="S91" s="116">
        <f>41026.96/R91</f>
        <v>4102.696</v>
      </c>
      <c r="T91" s="49"/>
      <c r="U91" s="2"/>
      <c r="V91" s="3"/>
      <c r="W91" s="128">
        <f>SUM(W81:W90)</f>
        <v>12</v>
      </c>
      <c r="X91" s="116">
        <f>159263.09/W91</f>
        <v>13271.924166666666</v>
      </c>
      <c r="Y91" s="49"/>
      <c r="Z91" s="2"/>
      <c r="AA91" s="3"/>
      <c r="AB91" s="128">
        <f>SUM(AB81:AB90)</f>
        <v>12</v>
      </c>
      <c r="AC91" s="116">
        <f>59312.08/AB91</f>
        <v>4942.673333333333</v>
      </c>
      <c r="AD91" s="49"/>
      <c r="AE91" s="116"/>
      <c r="AF91" s="3"/>
      <c r="AG91" s="128">
        <f>SUM(AG81:AG90)</f>
        <v>18</v>
      </c>
      <c r="AH91" s="128"/>
      <c r="AI91" s="116">
        <f>59312.08/AG91</f>
        <v>3295.1155555555556</v>
      </c>
      <c r="AJ91" s="49"/>
      <c r="AK91" s="116"/>
      <c r="AL91" s="3"/>
    </row>
    <row r="92" spans="1:38" ht="18" customHeight="1" hidden="1">
      <c r="A92" s="165" t="s">
        <v>54</v>
      </c>
      <c r="B92" s="6" t="s">
        <v>10</v>
      </c>
      <c r="C92" s="25"/>
      <c r="D92" s="54"/>
      <c r="E92" s="10"/>
      <c r="F92" s="28"/>
      <c r="G92" s="28"/>
      <c r="H92" s="25"/>
      <c r="I92" s="26"/>
      <c r="J92" s="47"/>
      <c r="K92" s="12"/>
      <c r="L92" s="9"/>
      <c r="M92" s="25">
        <v>1</v>
      </c>
      <c r="N92" s="26"/>
      <c r="O92" s="47"/>
      <c r="P92" s="12"/>
      <c r="Q92" s="9"/>
      <c r="R92" s="25">
        <v>3</v>
      </c>
      <c r="S92" s="26"/>
      <c r="T92" s="47"/>
      <c r="U92" s="12"/>
      <c r="V92" s="9"/>
      <c r="W92" s="25"/>
      <c r="X92" s="26"/>
      <c r="Y92" s="47"/>
      <c r="Z92" s="12"/>
      <c r="AA92" s="9"/>
      <c r="AB92" s="25"/>
      <c r="AC92" s="26"/>
      <c r="AD92" s="47"/>
      <c r="AE92" s="12"/>
      <c r="AF92" s="9"/>
      <c r="AG92" s="25"/>
      <c r="AH92" s="25"/>
      <c r="AI92" s="26"/>
      <c r="AJ92" s="47"/>
      <c r="AK92" s="12"/>
      <c r="AL92" s="9"/>
    </row>
    <row r="93" spans="1:38" ht="18" customHeight="1">
      <c r="A93" s="165"/>
      <c r="B93" s="6" t="s">
        <v>11</v>
      </c>
      <c r="C93" s="25">
        <f>2+3+3</f>
        <v>8</v>
      </c>
      <c r="D93" s="54"/>
      <c r="E93" s="27"/>
      <c r="F93" s="28"/>
      <c r="G93" s="28"/>
      <c r="H93" s="25">
        <v>7</v>
      </c>
      <c r="I93" s="26"/>
      <c r="J93" s="66"/>
      <c r="K93" s="12"/>
      <c r="L93" s="9"/>
      <c r="M93" s="25">
        <v>9</v>
      </c>
      <c r="N93" s="26"/>
      <c r="O93" s="66"/>
      <c r="P93" s="12"/>
      <c r="Q93" s="9"/>
      <c r="R93" s="25">
        <v>6</v>
      </c>
      <c r="S93" s="26"/>
      <c r="T93" s="66"/>
      <c r="U93" s="12"/>
      <c r="V93" s="9"/>
      <c r="W93" s="25">
        <v>98</v>
      </c>
      <c r="X93" s="26">
        <f>193318.69/W93</f>
        <v>1972.639693877551</v>
      </c>
      <c r="Y93" s="66"/>
      <c r="Z93" s="12"/>
      <c r="AA93" s="9"/>
      <c r="AB93" s="25">
        <v>111</v>
      </c>
      <c r="AC93" s="26">
        <f>172471.99/AB93</f>
        <v>1553.8017117117117</v>
      </c>
      <c r="AD93" s="66"/>
      <c r="AE93" s="12"/>
      <c r="AF93" s="9"/>
      <c r="AG93" s="25">
        <v>138</v>
      </c>
      <c r="AH93" s="25"/>
      <c r="AI93" s="26">
        <f>204471.63/AG93</f>
        <v>1481.6784782608695</v>
      </c>
      <c r="AJ93" s="66"/>
      <c r="AK93" s="12"/>
      <c r="AL93" s="9"/>
    </row>
    <row r="94" spans="1:38" ht="18" customHeight="1" hidden="1">
      <c r="A94" s="165"/>
      <c r="B94" s="6" t="s">
        <v>12</v>
      </c>
      <c r="C94" s="25"/>
      <c r="D94" s="54"/>
      <c r="E94" s="10"/>
      <c r="F94" s="28"/>
      <c r="G94" s="28"/>
      <c r="H94" s="25"/>
      <c r="I94" s="26"/>
      <c r="J94" s="47"/>
      <c r="K94" s="13"/>
      <c r="L94" s="9"/>
      <c r="M94" s="25"/>
      <c r="N94" s="26"/>
      <c r="O94" s="47"/>
      <c r="P94" s="13"/>
      <c r="Q94" s="9"/>
      <c r="R94" s="25">
        <v>0</v>
      </c>
      <c r="S94" s="26"/>
      <c r="T94" s="47"/>
      <c r="U94" s="13"/>
      <c r="V94" s="9"/>
      <c r="W94" s="25"/>
      <c r="X94" s="26"/>
      <c r="Y94" s="47"/>
      <c r="Z94" s="13"/>
      <c r="AA94" s="9"/>
      <c r="AB94" s="25"/>
      <c r="AC94" s="26"/>
      <c r="AD94" s="47"/>
      <c r="AE94" s="13"/>
      <c r="AF94" s="9"/>
      <c r="AG94" s="25"/>
      <c r="AH94" s="25"/>
      <c r="AI94" s="26"/>
      <c r="AJ94" s="47"/>
      <c r="AK94" s="13"/>
      <c r="AL94" s="9"/>
    </row>
    <row r="95" spans="1:38" ht="18" customHeight="1" hidden="1">
      <c r="A95" s="165"/>
      <c r="B95" s="6" t="s">
        <v>13</v>
      </c>
      <c r="C95" s="25"/>
      <c r="D95" s="54"/>
      <c r="E95" s="10"/>
      <c r="F95" s="28"/>
      <c r="G95" s="28"/>
      <c r="H95" s="25"/>
      <c r="I95" s="26"/>
      <c r="J95" s="47"/>
      <c r="K95" s="12"/>
      <c r="L95" s="9"/>
      <c r="M95" s="25"/>
      <c r="N95" s="26"/>
      <c r="O95" s="47"/>
      <c r="P95" s="12"/>
      <c r="Q95" s="9"/>
      <c r="R95" s="25">
        <v>0</v>
      </c>
      <c r="S95" s="26"/>
      <c r="T95" s="47"/>
      <c r="U95" s="12"/>
      <c r="V95" s="9"/>
      <c r="W95" s="25"/>
      <c r="X95" s="26"/>
      <c r="Y95" s="47"/>
      <c r="Z95" s="12"/>
      <c r="AA95" s="9"/>
      <c r="AB95" s="25"/>
      <c r="AC95" s="26"/>
      <c r="AD95" s="47"/>
      <c r="AE95" s="12"/>
      <c r="AF95" s="9"/>
      <c r="AG95" s="25"/>
      <c r="AH95" s="25"/>
      <c r="AI95" s="26"/>
      <c r="AJ95" s="47"/>
      <c r="AK95" s="12"/>
      <c r="AL95" s="9"/>
    </row>
    <row r="96" spans="1:38" ht="18" customHeight="1">
      <c r="A96" s="165"/>
      <c r="B96" s="6" t="s">
        <v>14</v>
      </c>
      <c r="C96" s="25"/>
      <c r="D96" s="54"/>
      <c r="E96" s="10"/>
      <c r="F96" s="28"/>
      <c r="G96" s="28"/>
      <c r="H96" s="25"/>
      <c r="I96" s="26"/>
      <c r="J96" s="47"/>
      <c r="K96" s="12"/>
      <c r="L96" s="9"/>
      <c r="M96" s="25"/>
      <c r="N96" s="26"/>
      <c r="O96" s="47"/>
      <c r="P96" s="12"/>
      <c r="Q96" s="9"/>
      <c r="R96" s="25">
        <v>0</v>
      </c>
      <c r="S96" s="26"/>
      <c r="T96" s="47"/>
      <c r="U96" s="12"/>
      <c r="V96" s="9"/>
      <c r="W96" s="25">
        <v>20</v>
      </c>
      <c r="X96" s="26">
        <f>16868.65/W96</f>
        <v>843.4325000000001</v>
      </c>
      <c r="Y96" s="47"/>
      <c r="Z96" s="12"/>
      <c r="AA96" s="9"/>
      <c r="AB96" s="25">
        <v>22</v>
      </c>
      <c r="AC96" s="26">
        <f>23865.35/AB96</f>
        <v>1084.7886363636362</v>
      </c>
      <c r="AD96" s="47"/>
      <c r="AE96" s="12"/>
      <c r="AF96" s="9"/>
      <c r="AG96" s="25">
        <v>25</v>
      </c>
      <c r="AH96" s="25"/>
      <c r="AI96" s="26">
        <f>31194.94/AG96</f>
        <v>1247.7975999999999</v>
      </c>
      <c r="AJ96" s="47"/>
      <c r="AK96" s="12"/>
      <c r="AL96" s="9"/>
    </row>
    <row r="97" spans="1:38" ht="18" customHeight="1" hidden="1">
      <c r="A97" s="165"/>
      <c r="B97" s="6" t="s">
        <v>15</v>
      </c>
      <c r="C97" s="25">
        <v>1</v>
      </c>
      <c r="D97" s="54"/>
      <c r="E97" s="27"/>
      <c r="F97" s="28"/>
      <c r="G97" s="28"/>
      <c r="H97" s="25">
        <v>1</v>
      </c>
      <c r="I97" s="26"/>
      <c r="J97" s="66"/>
      <c r="K97" s="12"/>
      <c r="L97" s="9"/>
      <c r="M97" s="25">
        <v>1</v>
      </c>
      <c r="N97" s="26"/>
      <c r="O97" s="66"/>
      <c r="P97" s="12"/>
      <c r="Q97" s="9"/>
      <c r="R97" s="25">
        <v>1</v>
      </c>
      <c r="S97" s="26"/>
      <c r="T97" s="66"/>
      <c r="U97" s="12"/>
      <c r="V97" s="9"/>
      <c r="W97" s="25"/>
      <c r="X97" s="26"/>
      <c r="Y97" s="66"/>
      <c r="Z97" s="12"/>
      <c r="AA97" s="9"/>
      <c r="AB97" s="25"/>
      <c r="AC97" s="26"/>
      <c r="AD97" s="66"/>
      <c r="AE97" s="12"/>
      <c r="AF97" s="9"/>
      <c r="AG97" s="25"/>
      <c r="AH97" s="25"/>
      <c r="AI97" s="26"/>
      <c r="AJ97" s="66"/>
      <c r="AK97" s="12"/>
      <c r="AL97" s="9"/>
    </row>
    <row r="98" spans="1:38" ht="18" customHeight="1">
      <c r="A98" s="165"/>
      <c r="B98" s="6" t="s">
        <v>16</v>
      </c>
      <c r="C98" s="25">
        <v>2</v>
      </c>
      <c r="D98" s="54"/>
      <c r="E98" s="27"/>
      <c r="F98" s="28"/>
      <c r="G98" s="28"/>
      <c r="H98" s="25">
        <v>2</v>
      </c>
      <c r="I98" s="26"/>
      <c r="J98" s="66"/>
      <c r="K98" s="12"/>
      <c r="L98" s="9"/>
      <c r="M98" s="25">
        <v>2</v>
      </c>
      <c r="N98" s="26"/>
      <c r="O98" s="66"/>
      <c r="P98" s="12"/>
      <c r="Q98" s="9"/>
      <c r="R98" s="25">
        <v>2</v>
      </c>
      <c r="S98" s="26"/>
      <c r="T98" s="66"/>
      <c r="U98" s="12"/>
      <c r="V98" s="9"/>
      <c r="W98" s="25">
        <v>0</v>
      </c>
      <c r="X98" s="26"/>
      <c r="Y98" s="66"/>
      <c r="Z98" s="12"/>
      <c r="AA98" s="9"/>
      <c r="AB98" s="25">
        <v>0</v>
      </c>
      <c r="AC98" s="26">
        <v>0</v>
      </c>
      <c r="AD98" s="66"/>
      <c r="AE98" s="12"/>
      <c r="AF98" s="9"/>
      <c r="AG98" s="25">
        <v>4</v>
      </c>
      <c r="AH98" s="25"/>
      <c r="AI98" s="26">
        <f>3347.41/AG98</f>
        <v>836.8525</v>
      </c>
      <c r="AJ98" s="66"/>
      <c r="AK98" s="12"/>
      <c r="AL98" s="9"/>
    </row>
    <row r="99" spans="1:38" ht="18" customHeight="1" hidden="1">
      <c r="A99" s="165"/>
      <c r="B99" s="6" t="s">
        <v>17</v>
      </c>
      <c r="C99" s="25"/>
      <c r="D99" s="54"/>
      <c r="E99" s="10"/>
      <c r="F99" s="28"/>
      <c r="G99" s="28"/>
      <c r="H99" s="25"/>
      <c r="I99" s="26"/>
      <c r="J99" s="47"/>
      <c r="K99" s="12"/>
      <c r="L99" s="9"/>
      <c r="M99" s="25"/>
      <c r="N99" s="26"/>
      <c r="O99" s="47"/>
      <c r="P99" s="12"/>
      <c r="Q99" s="9"/>
      <c r="R99" s="25">
        <v>0</v>
      </c>
      <c r="S99" s="26"/>
      <c r="T99" s="47"/>
      <c r="U99" s="12"/>
      <c r="V99" s="9"/>
      <c r="W99" s="25"/>
      <c r="X99" s="26"/>
      <c r="Y99" s="47"/>
      <c r="Z99" s="12"/>
      <c r="AA99" s="9"/>
      <c r="AB99" s="25"/>
      <c r="AC99" s="26"/>
      <c r="AD99" s="47"/>
      <c r="AE99" s="12"/>
      <c r="AF99" s="9"/>
      <c r="AG99" s="25"/>
      <c r="AH99" s="25"/>
      <c r="AI99" s="26"/>
      <c r="AJ99" s="47"/>
      <c r="AK99" s="12"/>
      <c r="AL99" s="9"/>
    </row>
    <row r="100" spans="1:38" ht="18" customHeight="1">
      <c r="A100" s="165"/>
      <c r="B100" s="6" t="s">
        <v>90</v>
      </c>
      <c r="C100" s="25"/>
      <c r="D100" s="54"/>
      <c r="E100" s="10"/>
      <c r="F100" s="28"/>
      <c r="G100" s="28"/>
      <c r="H100" s="25"/>
      <c r="I100" s="26"/>
      <c r="J100" s="47"/>
      <c r="K100" s="12"/>
      <c r="L100" s="9"/>
      <c r="M100" s="25"/>
      <c r="N100" s="26"/>
      <c r="O100" s="47"/>
      <c r="P100" s="12"/>
      <c r="Q100" s="9"/>
      <c r="R100" s="25"/>
      <c r="S100" s="26"/>
      <c r="T100" s="47"/>
      <c r="U100" s="12"/>
      <c r="V100" s="9"/>
      <c r="W100" s="25">
        <v>29</v>
      </c>
      <c r="X100" s="26">
        <f>56741.56/W100</f>
        <v>1956.6055172413792</v>
      </c>
      <c r="Y100" s="47"/>
      <c r="Z100" s="12"/>
      <c r="AA100" s="9"/>
      <c r="AB100" s="25">
        <v>37</v>
      </c>
      <c r="AC100" s="26">
        <f>59921.86/AB100</f>
        <v>1619.5097297297298</v>
      </c>
      <c r="AD100" s="47"/>
      <c r="AE100" s="12"/>
      <c r="AF100" s="9"/>
      <c r="AG100" s="25">
        <v>38</v>
      </c>
      <c r="AH100" s="25"/>
      <c r="AI100" s="26">
        <f>67402.81/AG100</f>
        <v>1773.7581578947368</v>
      </c>
      <c r="AJ100" s="47"/>
      <c r="AK100" s="12"/>
      <c r="AL100" s="9"/>
    </row>
    <row r="101" spans="1:38" ht="18" customHeight="1">
      <c r="A101" s="165"/>
      <c r="B101" s="6" t="s">
        <v>18</v>
      </c>
      <c r="C101" s="25"/>
      <c r="D101" s="54"/>
      <c r="E101" s="10"/>
      <c r="F101" s="28"/>
      <c r="G101" s="28"/>
      <c r="H101" s="25"/>
      <c r="I101" s="26"/>
      <c r="J101" s="47"/>
      <c r="K101" s="12"/>
      <c r="L101" s="9"/>
      <c r="M101" s="25"/>
      <c r="N101" s="26"/>
      <c r="O101" s="47"/>
      <c r="P101" s="12"/>
      <c r="Q101" s="9"/>
      <c r="R101" s="25">
        <v>1</v>
      </c>
      <c r="S101" s="26"/>
      <c r="T101" s="47"/>
      <c r="U101" s="12"/>
      <c r="V101" s="9"/>
      <c r="W101" s="25">
        <v>46</v>
      </c>
      <c r="X101" s="26">
        <f>110969.29/W101</f>
        <v>2412.3758695652173</v>
      </c>
      <c r="Y101" s="47"/>
      <c r="Z101" s="12"/>
      <c r="AA101" s="9"/>
      <c r="AB101" s="25">
        <v>46</v>
      </c>
      <c r="AC101" s="26">
        <f>75539.02/AB101</f>
        <v>1642.1526086956524</v>
      </c>
      <c r="AD101" s="47"/>
      <c r="AE101" s="12"/>
      <c r="AF101" s="9"/>
      <c r="AG101" s="25">
        <v>41</v>
      </c>
      <c r="AH101" s="25"/>
      <c r="AI101" s="26">
        <f>61455.29/AG101</f>
        <v>1498.909512195122</v>
      </c>
      <c r="AJ101" s="47"/>
      <c r="AK101" s="12"/>
      <c r="AL101" s="9"/>
    </row>
    <row r="102" spans="1:38" ht="18" customHeight="1">
      <c r="A102" s="165"/>
      <c r="B102" s="69" t="s">
        <v>19</v>
      </c>
      <c r="C102" s="128">
        <f>SUM(C92:C101)</f>
        <v>11</v>
      </c>
      <c r="D102" s="3"/>
      <c r="E102" s="5"/>
      <c r="F102" s="5"/>
      <c r="G102" s="5"/>
      <c r="H102" s="128">
        <f>SUM(H92:H101)</f>
        <v>10</v>
      </c>
      <c r="I102" s="3"/>
      <c r="J102" s="49"/>
      <c r="K102" s="2"/>
      <c r="L102" s="3"/>
      <c r="M102" s="128">
        <f>SUM(M92:M101)</f>
        <v>13</v>
      </c>
      <c r="N102" s="3"/>
      <c r="O102" s="49"/>
      <c r="P102" s="2"/>
      <c r="Q102" s="3"/>
      <c r="R102" s="128">
        <f>SUM(R92:R101)</f>
        <v>13</v>
      </c>
      <c r="S102" s="3"/>
      <c r="T102" s="49"/>
      <c r="U102" s="2"/>
      <c r="V102" s="3"/>
      <c r="W102" s="128">
        <f>SUM(W92:W101)</f>
        <v>193</v>
      </c>
      <c r="X102" s="3">
        <f>377898.19/W102</f>
        <v>1958.0217098445596</v>
      </c>
      <c r="Y102" s="49"/>
      <c r="Z102" s="2"/>
      <c r="AA102" s="3"/>
      <c r="AB102" s="128">
        <f>SUM(AB92:AB101)</f>
        <v>216</v>
      </c>
      <c r="AC102" s="3">
        <f>331798.22/AB102</f>
        <v>1536.1028703703703</v>
      </c>
      <c r="AD102" s="49"/>
      <c r="AE102" s="2"/>
      <c r="AF102" s="3"/>
      <c r="AG102" s="128">
        <f>SUM(AG92:AG101)</f>
        <v>246</v>
      </c>
      <c r="AH102" s="128"/>
      <c r="AI102" s="3">
        <f>331798.22/AG102</f>
        <v>1348.7732520325203</v>
      </c>
      <c r="AJ102" s="49"/>
      <c r="AK102" s="2"/>
      <c r="AL102" s="3"/>
    </row>
    <row r="103" ht="12.75"/>
    <row r="104" spans="2:3" ht="15.75">
      <c r="B104" s="70" t="s">
        <v>71</v>
      </c>
      <c r="C104" s="71" t="s">
        <v>74</v>
      </c>
    </row>
    <row r="105" spans="2:3" ht="15.75">
      <c r="B105" s="69" t="s">
        <v>71</v>
      </c>
      <c r="C105" s="71" t="s">
        <v>75</v>
      </c>
    </row>
    <row r="147" ht="12.75"/>
    <row r="148" ht="12.75"/>
    <row r="149" ht="12.75"/>
    <row r="150" ht="12.75"/>
  </sheetData>
  <sheetProtection/>
  <autoFilter ref="A3:AF102"/>
  <mergeCells count="17">
    <mergeCell ref="AG2:AL2"/>
    <mergeCell ref="A81:A91"/>
    <mergeCell ref="A4:A14"/>
    <mergeCell ref="W2:AA2"/>
    <mergeCell ref="AB2:AF2"/>
    <mergeCell ref="R2:V2"/>
    <mergeCell ref="A15:A25"/>
    <mergeCell ref="A92:A102"/>
    <mergeCell ref="A48:A58"/>
    <mergeCell ref="M2:Q2"/>
    <mergeCell ref="A37:A47"/>
    <mergeCell ref="A2:A3"/>
    <mergeCell ref="B2:G2"/>
    <mergeCell ref="H2:L2"/>
    <mergeCell ref="A59:A69"/>
    <mergeCell ref="A70:A80"/>
    <mergeCell ref="A26:A36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8" scale="32" r:id="rId3"/>
  <ignoredErrors>
    <ignoredError sqref="O35:O36 J32 T31 J28 O30:O33 E27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50"/>
  <sheetViews>
    <sheetView workbookViewId="0" topLeftCell="A127">
      <selection activeCell="A69" sqref="A69:A79"/>
    </sheetView>
  </sheetViews>
  <sheetFormatPr defaultColWidth="9.140625" defaultRowHeight="12.75"/>
  <cols>
    <col min="1" max="1" width="15.7109375" style="0" customWidth="1"/>
    <col min="2" max="2" width="32.421875" style="0" customWidth="1"/>
    <col min="3" max="3" width="18.421875" style="0" hidden="1" customWidth="1"/>
    <col min="4" max="4" width="16.7109375" style="42" hidden="1" customWidth="1"/>
    <col min="5" max="7" width="16.7109375" style="0" hidden="1" customWidth="1"/>
    <col min="8" max="8" width="16.7109375" style="73" hidden="1" customWidth="1"/>
    <col min="9" max="13" width="16.7109375" style="0" hidden="1" customWidth="1"/>
    <col min="14" max="14" width="20.28125" style="0" hidden="1" customWidth="1"/>
    <col min="15" max="18" width="16.7109375" style="0" hidden="1" customWidth="1"/>
    <col min="19" max="19" width="20.28125" style="1" hidden="1" customWidth="1"/>
    <col min="20" max="27" width="16.7109375" style="0" hidden="1" customWidth="1"/>
    <col min="28" max="33" width="16.7109375" style="0" customWidth="1"/>
    <col min="34" max="34" width="16.7109375" style="152" customWidth="1"/>
    <col min="35" max="38" width="16.7109375" style="0" customWidth="1"/>
    <col min="40" max="41" width="12.00390625" style="0" customWidth="1"/>
    <col min="42" max="42" width="9.57421875" style="0" customWidth="1"/>
  </cols>
  <sheetData>
    <row r="1" spans="1:38" ht="30" customHeight="1">
      <c r="A1" s="163"/>
      <c r="B1" s="141"/>
      <c r="C1" s="166" t="s">
        <v>9</v>
      </c>
      <c r="D1" s="167"/>
      <c r="E1" s="167"/>
      <c r="F1" s="167"/>
      <c r="G1" s="168"/>
      <c r="H1" s="166" t="s">
        <v>20</v>
      </c>
      <c r="I1" s="167"/>
      <c r="J1" s="167"/>
      <c r="K1" s="167"/>
      <c r="L1" s="168"/>
      <c r="M1" s="166" t="s">
        <v>76</v>
      </c>
      <c r="N1" s="167"/>
      <c r="O1" s="167"/>
      <c r="P1" s="167"/>
      <c r="Q1" s="168"/>
      <c r="R1" s="166" t="s">
        <v>83</v>
      </c>
      <c r="S1" s="167"/>
      <c r="T1" s="167"/>
      <c r="U1" s="167"/>
      <c r="V1" s="168"/>
      <c r="W1" s="166" t="s">
        <v>89</v>
      </c>
      <c r="X1" s="167"/>
      <c r="Y1" s="167"/>
      <c r="Z1" s="167"/>
      <c r="AA1" s="168"/>
      <c r="AB1" s="166" t="s">
        <v>92</v>
      </c>
      <c r="AC1" s="167"/>
      <c r="AD1" s="167"/>
      <c r="AE1" s="167"/>
      <c r="AF1" s="168"/>
      <c r="AG1" s="166" t="s">
        <v>93</v>
      </c>
      <c r="AH1" s="167"/>
      <c r="AI1" s="167"/>
      <c r="AJ1" s="167"/>
      <c r="AK1" s="167"/>
      <c r="AL1" s="168"/>
    </row>
    <row r="2" spans="1:38" ht="48" customHeight="1">
      <c r="A2" s="163"/>
      <c r="B2" s="126"/>
      <c r="C2" s="7" t="s">
        <v>29</v>
      </c>
      <c r="D2" s="41" t="s">
        <v>30</v>
      </c>
      <c r="E2" s="8" t="s">
        <v>58</v>
      </c>
      <c r="F2" s="8" t="s">
        <v>32</v>
      </c>
      <c r="G2" s="8" t="s">
        <v>31</v>
      </c>
      <c r="H2" s="96" t="s">
        <v>29</v>
      </c>
      <c r="I2" s="41" t="s">
        <v>30</v>
      </c>
      <c r="J2" s="43" t="s">
        <v>58</v>
      </c>
      <c r="K2" s="8" t="s">
        <v>32</v>
      </c>
      <c r="L2" s="8" t="s">
        <v>31</v>
      </c>
      <c r="M2" s="96" t="s">
        <v>29</v>
      </c>
      <c r="N2" s="41" t="s">
        <v>30</v>
      </c>
      <c r="O2" s="43" t="s">
        <v>58</v>
      </c>
      <c r="P2" s="8" t="s">
        <v>32</v>
      </c>
      <c r="Q2" s="8" t="s">
        <v>31</v>
      </c>
      <c r="R2" s="96" t="s">
        <v>29</v>
      </c>
      <c r="S2" s="41" t="s">
        <v>30</v>
      </c>
      <c r="T2" s="43" t="s">
        <v>58</v>
      </c>
      <c r="U2" s="8" t="s">
        <v>32</v>
      </c>
      <c r="V2" s="8" t="s">
        <v>31</v>
      </c>
      <c r="W2" s="96" t="s">
        <v>29</v>
      </c>
      <c r="X2" s="41" t="s">
        <v>30</v>
      </c>
      <c r="Y2" s="43" t="s">
        <v>58</v>
      </c>
      <c r="Z2" s="8" t="s">
        <v>32</v>
      </c>
      <c r="AA2" s="8" t="s">
        <v>31</v>
      </c>
      <c r="AB2" s="96" t="s">
        <v>29</v>
      </c>
      <c r="AC2" s="41" t="s">
        <v>30</v>
      </c>
      <c r="AD2" s="43" t="s">
        <v>58</v>
      </c>
      <c r="AE2" s="8" t="s">
        <v>32</v>
      </c>
      <c r="AF2" s="8" t="s">
        <v>31</v>
      </c>
      <c r="AG2" s="96" t="s">
        <v>29</v>
      </c>
      <c r="AH2" s="146" t="s">
        <v>96</v>
      </c>
      <c r="AI2" s="41" t="s">
        <v>30</v>
      </c>
      <c r="AJ2" s="43" t="s">
        <v>58</v>
      </c>
      <c r="AK2" s="8" t="s">
        <v>32</v>
      </c>
      <c r="AL2" s="8" t="s">
        <v>31</v>
      </c>
    </row>
    <row r="3" spans="1:38" ht="18" customHeight="1">
      <c r="A3" s="165" t="s">
        <v>82</v>
      </c>
      <c r="B3" s="6" t="s">
        <v>10</v>
      </c>
      <c r="C3" s="127"/>
      <c r="D3" s="37"/>
      <c r="E3" s="33"/>
      <c r="F3" s="11"/>
      <c r="G3" s="11"/>
      <c r="H3" s="97"/>
      <c r="I3" s="37"/>
      <c r="J3" s="33"/>
      <c r="K3" s="12"/>
      <c r="L3" s="9"/>
      <c r="M3" s="97"/>
      <c r="N3" s="37"/>
      <c r="O3" s="33"/>
      <c r="P3" s="12"/>
      <c r="Q3" s="9"/>
      <c r="R3" s="97"/>
      <c r="S3" s="37"/>
      <c r="T3" s="33"/>
      <c r="U3" s="12"/>
      <c r="V3" s="9"/>
      <c r="W3" s="97"/>
      <c r="X3" s="37"/>
      <c r="Y3" s="33"/>
      <c r="Z3" s="12"/>
      <c r="AA3" s="9"/>
      <c r="AB3" s="97"/>
      <c r="AC3" s="37"/>
      <c r="AD3" s="33"/>
      <c r="AE3" s="12"/>
      <c r="AF3" s="9"/>
      <c r="AG3" s="97"/>
      <c r="AH3" s="147"/>
      <c r="AI3" s="37"/>
      <c r="AJ3" s="33"/>
      <c r="AK3" s="12"/>
      <c r="AL3" s="9"/>
    </row>
    <row r="4" spans="1:38" ht="18" customHeight="1">
      <c r="A4" s="165"/>
      <c r="B4" s="6" t="s">
        <v>11</v>
      </c>
      <c r="C4" s="127"/>
      <c r="D4" s="37"/>
      <c r="E4" s="33"/>
      <c r="F4" s="11"/>
      <c r="G4" s="11"/>
      <c r="H4" s="97"/>
      <c r="I4" s="37"/>
      <c r="J4" s="33"/>
      <c r="K4" s="12"/>
      <c r="L4" s="9"/>
      <c r="M4" s="97"/>
      <c r="N4" s="37"/>
      <c r="O4" s="33"/>
      <c r="P4" s="12"/>
      <c r="Q4" s="9"/>
      <c r="R4" s="97"/>
      <c r="S4" s="37"/>
      <c r="T4" s="33"/>
      <c r="U4" s="12"/>
      <c r="V4" s="9"/>
      <c r="W4" s="97">
        <v>605</v>
      </c>
      <c r="X4" s="37"/>
      <c r="Y4" s="33"/>
      <c r="Z4" s="12"/>
      <c r="AA4" s="9"/>
      <c r="AB4" s="97">
        <v>762</v>
      </c>
      <c r="AC4" s="37"/>
      <c r="AD4" s="33"/>
      <c r="AE4" s="12"/>
      <c r="AF4" s="9"/>
      <c r="AG4" s="97">
        <v>849</v>
      </c>
      <c r="AH4" s="147"/>
      <c r="AI4" s="37"/>
      <c r="AJ4" s="33"/>
      <c r="AK4" s="12"/>
      <c r="AL4" s="9"/>
    </row>
    <row r="5" spans="1:38" ht="18" customHeight="1">
      <c r="A5" s="165"/>
      <c r="B5" s="6" t="s">
        <v>12</v>
      </c>
      <c r="C5" s="127"/>
      <c r="D5" s="37"/>
      <c r="E5" s="33"/>
      <c r="F5" s="11"/>
      <c r="G5" s="11"/>
      <c r="H5" s="97"/>
      <c r="I5" s="37"/>
      <c r="J5" s="33"/>
      <c r="K5" s="13"/>
      <c r="L5" s="9"/>
      <c r="M5" s="97"/>
      <c r="N5" s="37"/>
      <c r="O5" s="33"/>
      <c r="P5" s="13"/>
      <c r="Q5" s="9"/>
      <c r="R5" s="97"/>
      <c r="S5" s="37"/>
      <c r="T5" s="33"/>
      <c r="U5" s="13"/>
      <c r="V5" s="9"/>
      <c r="W5" s="97"/>
      <c r="X5" s="37"/>
      <c r="Y5" s="33"/>
      <c r="Z5" s="13"/>
      <c r="AA5" s="9"/>
      <c r="AB5" s="97"/>
      <c r="AC5" s="37"/>
      <c r="AD5" s="33"/>
      <c r="AE5" s="13"/>
      <c r="AF5" s="9"/>
      <c r="AG5" s="97"/>
      <c r="AH5" s="147"/>
      <c r="AI5" s="37"/>
      <c r="AJ5" s="33"/>
      <c r="AK5" s="13"/>
      <c r="AL5" s="9"/>
    </row>
    <row r="6" spans="1:38" ht="18" customHeight="1">
      <c r="A6" s="165"/>
      <c r="B6" s="6" t="s">
        <v>13</v>
      </c>
      <c r="C6" s="127"/>
      <c r="D6" s="37"/>
      <c r="E6" s="33"/>
      <c r="F6" s="11"/>
      <c r="G6" s="11"/>
      <c r="H6" s="97"/>
      <c r="I6" s="37"/>
      <c r="J6" s="33"/>
      <c r="K6" s="12"/>
      <c r="L6" s="9"/>
      <c r="M6" s="97"/>
      <c r="N6" s="37"/>
      <c r="O6" s="33"/>
      <c r="P6" s="12"/>
      <c r="Q6" s="9"/>
      <c r="R6" s="97"/>
      <c r="S6" s="37"/>
      <c r="T6" s="33"/>
      <c r="U6" s="12"/>
      <c r="V6" s="9"/>
      <c r="W6" s="97"/>
      <c r="X6" s="37"/>
      <c r="Y6" s="33"/>
      <c r="Z6" s="12"/>
      <c r="AA6" s="9"/>
      <c r="AB6" s="97"/>
      <c r="AC6" s="37"/>
      <c r="AD6" s="33"/>
      <c r="AE6" s="12"/>
      <c r="AF6" s="9"/>
      <c r="AG6" s="97"/>
      <c r="AH6" s="147"/>
      <c r="AI6" s="37"/>
      <c r="AJ6" s="33"/>
      <c r="AK6" s="12"/>
      <c r="AL6" s="9"/>
    </row>
    <row r="7" spans="1:38" ht="18" customHeight="1">
      <c r="A7" s="165"/>
      <c r="B7" s="6" t="s">
        <v>14</v>
      </c>
      <c r="C7" s="127"/>
      <c r="D7" s="37"/>
      <c r="E7" s="33"/>
      <c r="F7" s="11"/>
      <c r="G7" s="11"/>
      <c r="H7" s="97"/>
      <c r="I7" s="37"/>
      <c r="J7" s="33"/>
      <c r="K7" s="12"/>
      <c r="L7" s="9"/>
      <c r="M7" s="97"/>
      <c r="N7" s="37"/>
      <c r="O7" s="33"/>
      <c r="P7" s="12"/>
      <c r="Q7" s="9"/>
      <c r="R7" s="97"/>
      <c r="S7" s="37"/>
      <c r="T7" s="33"/>
      <c r="U7" s="12"/>
      <c r="V7" s="9"/>
      <c r="W7" s="97">
        <v>146</v>
      </c>
      <c r="X7" s="37"/>
      <c r="Y7" s="33"/>
      <c r="Z7" s="12"/>
      <c r="AA7" s="9"/>
      <c r="AB7" s="97">
        <v>191</v>
      </c>
      <c r="AC7" s="37"/>
      <c r="AD7" s="33"/>
      <c r="AE7" s="12"/>
      <c r="AF7" s="9"/>
      <c r="AG7" s="97">
        <v>243</v>
      </c>
      <c r="AH7" s="147"/>
      <c r="AI7" s="37"/>
      <c r="AJ7" s="33"/>
      <c r="AK7" s="12"/>
      <c r="AL7" s="9"/>
    </row>
    <row r="8" spans="1:38" s="35" customFormat="1" ht="18" customHeight="1">
      <c r="A8" s="165"/>
      <c r="B8" s="6" t="s">
        <v>15</v>
      </c>
      <c r="C8" s="127"/>
      <c r="D8" s="38"/>
      <c r="E8" s="29"/>
      <c r="F8" s="39"/>
      <c r="G8" s="39"/>
      <c r="H8" s="98"/>
      <c r="I8" s="38"/>
      <c r="J8" s="29"/>
      <c r="K8" s="30"/>
      <c r="L8" s="99"/>
      <c r="M8" s="98"/>
      <c r="N8" s="38"/>
      <c r="O8" s="29"/>
      <c r="P8" s="30"/>
      <c r="Q8" s="99"/>
      <c r="R8" s="98"/>
      <c r="S8" s="38"/>
      <c r="T8" s="29"/>
      <c r="U8" s="30"/>
      <c r="V8" s="99"/>
      <c r="W8" s="98"/>
      <c r="X8" s="38"/>
      <c r="Y8" s="29"/>
      <c r="Z8" s="30"/>
      <c r="AA8" s="99"/>
      <c r="AB8" s="98"/>
      <c r="AC8" s="38"/>
      <c r="AD8" s="29"/>
      <c r="AE8" s="30"/>
      <c r="AF8" s="99"/>
      <c r="AG8" s="98"/>
      <c r="AH8" s="148"/>
      <c r="AI8" s="38"/>
      <c r="AJ8" s="29"/>
      <c r="AK8" s="30"/>
      <c r="AL8" s="99"/>
    </row>
    <row r="9" spans="1:38" ht="18" customHeight="1">
      <c r="A9" s="165"/>
      <c r="B9" s="6" t="s">
        <v>16</v>
      </c>
      <c r="C9" s="127"/>
      <c r="D9" s="37"/>
      <c r="E9" s="33"/>
      <c r="F9" s="11"/>
      <c r="G9" s="11"/>
      <c r="H9" s="97"/>
      <c r="I9" s="37"/>
      <c r="J9" s="33"/>
      <c r="K9" s="12"/>
      <c r="L9" s="9"/>
      <c r="M9" s="97"/>
      <c r="N9" s="37"/>
      <c r="O9" s="33"/>
      <c r="P9" s="12"/>
      <c r="Q9" s="9"/>
      <c r="R9" s="97"/>
      <c r="S9" s="37"/>
      <c r="T9" s="33"/>
      <c r="U9" s="12"/>
      <c r="V9" s="9"/>
      <c r="W9" s="97">
        <v>245</v>
      </c>
      <c r="X9" s="37"/>
      <c r="Y9" s="33"/>
      <c r="Z9" s="12"/>
      <c r="AA9" s="9"/>
      <c r="AB9" s="97">
        <v>356</v>
      </c>
      <c r="AC9" s="37"/>
      <c r="AD9" s="33"/>
      <c r="AE9" s="12"/>
      <c r="AF9" s="9"/>
      <c r="AG9" s="97">
        <v>382</v>
      </c>
      <c r="AH9" s="147"/>
      <c r="AI9" s="37"/>
      <c r="AJ9" s="33"/>
      <c r="AK9" s="12"/>
      <c r="AL9" s="9"/>
    </row>
    <row r="10" spans="1:38" ht="18" customHeight="1">
      <c r="A10" s="165"/>
      <c r="B10" s="6" t="s">
        <v>17</v>
      </c>
      <c r="C10" s="127"/>
      <c r="D10" s="37"/>
      <c r="E10" s="33"/>
      <c r="F10" s="11"/>
      <c r="G10" s="11"/>
      <c r="H10" s="97"/>
      <c r="I10" s="37"/>
      <c r="J10" s="33"/>
      <c r="K10" s="12"/>
      <c r="L10" s="9"/>
      <c r="M10" s="97"/>
      <c r="N10" s="37"/>
      <c r="O10" s="33"/>
      <c r="P10" s="12"/>
      <c r="Q10" s="9"/>
      <c r="R10" s="97"/>
      <c r="S10" s="37"/>
      <c r="T10" s="33"/>
      <c r="U10" s="12"/>
      <c r="V10" s="9"/>
      <c r="W10" s="97"/>
      <c r="X10" s="37"/>
      <c r="Y10" s="33"/>
      <c r="Z10" s="12"/>
      <c r="AA10" s="9"/>
      <c r="AB10" s="97"/>
      <c r="AC10" s="37"/>
      <c r="AD10" s="33"/>
      <c r="AE10" s="12"/>
      <c r="AF10" s="9"/>
      <c r="AG10" s="97"/>
      <c r="AH10" s="147"/>
      <c r="AI10" s="37"/>
      <c r="AJ10" s="33"/>
      <c r="AK10" s="12"/>
      <c r="AL10" s="9"/>
    </row>
    <row r="11" spans="1:38" ht="18" customHeight="1">
      <c r="A11" s="165"/>
      <c r="B11" s="6" t="s">
        <v>90</v>
      </c>
      <c r="C11" s="127"/>
      <c r="D11" s="37"/>
      <c r="E11" s="33"/>
      <c r="F11" s="11"/>
      <c r="G11" s="11"/>
      <c r="H11" s="97"/>
      <c r="I11" s="37"/>
      <c r="J11" s="33"/>
      <c r="K11" s="12"/>
      <c r="L11" s="9"/>
      <c r="M11" s="97"/>
      <c r="N11" s="37"/>
      <c r="O11" s="33"/>
      <c r="P11" s="12"/>
      <c r="Q11" s="9"/>
      <c r="R11" s="97"/>
      <c r="S11" s="37"/>
      <c r="T11" s="33"/>
      <c r="U11" s="12"/>
      <c r="V11" s="9"/>
      <c r="W11" s="97">
        <v>474</v>
      </c>
      <c r="X11" s="37"/>
      <c r="Y11" s="33"/>
      <c r="Z11" s="12"/>
      <c r="AA11" s="9"/>
      <c r="AB11" s="97">
        <v>581</v>
      </c>
      <c r="AC11" s="37"/>
      <c r="AD11" s="33"/>
      <c r="AE11" s="12"/>
      <c r="AF11" s="9"/>
      <c r="AG11" s="97">
        <v>650</v>
      </c>
      <c r="AH11" s="147"/>
      <c r="AI11" s="37"/>
      <c r="AJ11" s="33"/>
      <c r="AK11" s="12"/>
      <c r="AL11" s="9"/>
    </row>
    <row r="12" spans="1:38" ht="18" customHeight="1">
      <c r="A12" s="165"/>
      <c r="B12" s="6" t="s">
        <v>18</v>
      </c>
      <c r="C12" s="127"/>
      <c r="D12" s="37"/>
      <c r="E12" s="33"/>
      <c r="F12" s="11"/>
      <c r="G12" s="11"/>
      <c r="H12" s="97"/>
      <c r="I12" s="37"/>
      <c r="J12" s="33"/>
      <c r="K12" s="12"/>
      <c r="L12" s="9"/>
      <c r="M12" s="97"/>
      <c r="N12" s="37"/>
      <c r="O12" s="33"/>
      <c r="P12" s="12"/>
      <c r="Q12" s="9"/>
      <c r="R12" s="97"/>
      <c r="S12" s="37"/>
      <c r="T12" s="33"/>
      <c r="U12" s="12"/>
      <c r="V12" s="9"/>
      <c r="W12" s="97">
        <v>410</v>
      </c>
      <c r="X12" s="37"/>
      <c r="Y12" s="33"/>
      <c r="Z12" s="12"/>
      <c r="AA12" s="9"/>
      <c r="AB12" s="97">
        <v>421</v>
      </c>
      <c r="AC12" s="37"/>
      <c r="AD12" s="33"/>
      <c r="AE12" s="12"/>
      <c r="AF12" s="9"/>
      <c r="AG12" s="97">
        <v>465</v>
      </c>
      <c r="AH12" s="147"/>
      <c r="AI12" s="37"/>
      <c r="AJ12" s="33"/>
      <c r="AK12" s="12"/>
      <c r="AL12" s="9"/>
    </row>
    <row r="13" spans="1:38" s="60" customFormat="1" ht="18" customHeight="1">
      <c r="A13" s="165"/>
      <c r="B13" s="44" t="s">
        <v>19</v>
      </c>
      <c r="C13" s="128"/>
      <c r="D13" s="20"/>
      <c r="E13" s="61"/>
      <c r="F13" s="59"/>
      <c r="G13" s="59"/>
      <c r="H13" s="100"/>
      <c r="I13" s="20"/>
      <c r="J13" s="61"/>
      <c r="K13" s="56"/>
      <c r="L13" s="20"/>
      <c r="M13" s="100"/>
      <c r="N13" s="20"/>
      <c r="O13" s="61"/>
      <c r="P13" s="56"/>
      <c r="Q13" s="20"/>
      <c r="R13" s="100"/>
      <c r="S13" s="20"/>
      <c r="T13" s="61"/>
      <c r="U13" s="56"/>
      <c r="V13" s="20"/>
      <c r="W13" s="100">
        <f>SUM(W3:W12)</f>
        <v>1880</v>
      </c>
      <c r="X13" s="20"/>
      <c r="Y13" s="61"/>
      <c r="Z13" s="56"/>
      <c r="AA13" s="20"/>
      <c r="AB13" s="100">
        <f>SUM(AB3:AB12)</f>
        <v>2311</v>
      </c>
      <c r="AC13" s="20"/>
      <c r="AD13" s="61"/>
      <c r="AE13" s="56"/>
      <c r="AF13" s="20"/>
      <c r="AG13" s="100">
        <f>SUM(AG3:AG12)</f>
        <v>2589</v>
      </c>
      <c r="AH13" s="149"/>
      <c r="AI13" s="20"/>
      <c r="AJ13" s="61"/>
      <c r="AK13" s="56"/>
      <c r="AL13" s="20"/>
    </row>
    <row r="14" spans="1:38" ht="18" customHeight="1">
      <c r="A14" s="164" t="s">
        <v>80</v>
      </c>
      <c r="B14" s="6" t="s">
        <v>10</v>
      </c>
      <c r="C14" s="127">
        <v>1</v>
      </c>
      <c r="D14" s="37"/>
      <c r="E14" s="33"/>
      <c r="F14" s="11"/>
      <c r="G14" s="11"/>
      <c r="H14" s="97">
        <v>9</v>
      </c>
      <c r="I14" s="37"/>
      <c r="J14" s="33"/>
      <c r="K14" s="12"/>
      <c r="L14" s="9"/>
      <c r="M14" s="97">
        <v>11</v>
      </c>
      <c r="N14" s="37"/>
      <c r="O14" s="33"/>
      <c r="P14" s="12"/>
      <c r="Q14" s="9"/>
      <c r="R14" s="97">
        <v>9</v>
      </c>
      <c r="S14" s="37"/>
      <c r="T14" s="33"/>
      <c r="U14" s="12"/>
      <c r="V14" s="9"/>
      <c r="W14" s="97"/>
      <c r="X14" s="37"/>
      <c r="Y14" s="33"/>
      <c r="Z14" s="12"/>
      <c r="AA14" s="9"/>
      <c r="AB14" s="97"/>
      <c r="AC14" s="37"/>
      <c r="AD14" s="33"/>
      <c r="AE14" s="12"/>
      <c r="AF14" s="9"/>
      <c r="AG14" s="97"/>
      <c r="AH14" s="147"/>
      <c r="AI14" s="37"/>
      <c r="AJ14" s="33"/>
      <c r="AK14" s="12"/>
      <c r="AL14" s="9"/>
    </row>
    <row r="15" spans="1:38" ht="18" customHeight="1">
      <c r="A15" s="164"/>
      <c r="B15" s="6" t="s">
        <v>11</v>
      </c>
      <c r="C15" s="127">
        <v>51</v>
      </c>
      <c r="D15" s="37"/>
      <c r="E15" s="33"/>
      <c r="F15" s="11"/>
      <c r="G15" s="11"/>
      <c r="H15" s="97">
        <v>73</v>
      </c>
      <c r="I15" s="37"/>
      <c r="J15" s="33"/>
      <c r="K15" s="12"/>
      <c r="L15" s="9"/>
      <c r="M15" s="97">
        <v>78</v>
      </c>
      <c r="N15" s="37"/>
      <c r="O15" s="33"/>
      <c r="P15" s="12"/>
      <c r="Q15" s="9"/>
      <c r="R15" s="97">
        <v>71</v>
      </c>
      <c r="S15" s="37"/>
      <c r="T15" s="33"/>
      <c r="U15" s="12"/>
      <c r="V15" s="9"/>
      <c r="W15" s="97">
        <v>117</v>
      </c>
      <c r="X15" s="37"/>
      <c r="Y15" s="33"/>
      <c r="Z15" s="12"/>
      <c r="AA15" s="9"/>
      <c r="AB15" s="97">
        <v>121</v>
      </c>
      <c r="AC15" s="37"/>
      <c r="AD15" s="33"/>
      <c r="AE15" s="12"/>
      <c r="AF15" s="9"/>
      <c r="AG15" s="97">
        <v>94</v>
      </c>
      <c r="AH15" s="147"/>
      <c r="AI15" s="37"/>
      <c r="AJ15" s="33"/>
      <c r="AK15" s="12"/>
      <c r="AL15" s="9"/>
    </row>
    <row r="16" spans="1:38" ht="18" customHeight="1">
      <c r="A16" s="164"/>
      <c r="B16" s="6" t="s">
        <v>12</v>
      </c>
      <c r="C16" s="127">
        <v>2</v>
      </c>
      <c r="D16" s="37"/>
      <c r="E16" s="33"/>
      <c r="F16" s="11"/>
      <c r="G16" s="11"/>
      <c r="H16" s="97">
        <v>12</v>
      </c>
      <c r="I16" s="37"/>
      <c r="J16" s="33"/>
      <c r="K16" s="13"/>
      <c r="L16" s="9"/>
      <c r="M16" s="97">
        <v>5</v>
      </c>
      <c r="N16" s="37"/>
      <c r="O16" s="33"/>
      <c r="P16" s="13"/>
      <c r="Q16" s="9"/>
      <c r="R16" s="97">
        <v>10</v>
      </c>
      <c r="S16" s="37"/>
      <c r="T16" s="33"/>
      <c r="U16" s="13"/>
      <c r="V16" s="9"/>
      <c r="W16" s="97"/>
      <c r="X16" s="37"/>
      <c r="Y16" s="33"/>
      <c r="Z16" s="13"/>
      <c r="AA16" s="9"/>
      <c r="AB16" s="97"/>
      <c r="AC16" s="37"/>
      <c r="AD16" s="33"/>
      <c r="AE16" s="13"/>
      <c r="AF16" s="9"/>
      <c r="AG16" s="97"/>
      <c r="AH16" s="147"/>
      <c r="AI16" s="37"/>
      <c r="AJ16" s="33"/>
      <c r="AK16" s="13"/>
      <c r="AL16" s="9"/>
    </row>
    <row r="17" spans="1:38" ht="18" customHeight="1">
      <c r="A17" s="164"/>
      <c r="B17" s="6" t="s">
        <v>13</v>
      </c>
      <c r="C17" s="127">
        <v>7</v>
      </c>
      <c r="D17" s="37"/>
      <c r="E17" s="33"/>
      <c r="F17" s="11"/>
      <c r="G17" s="11"/>
      <c r="H17" s="97">
        <v>7</v>
      </c>
      <c r="I17" s="37"/>
      <c r="J17" s="33"/>
      <c r="K17" s="12"/>
      <c r="L17" s="9"/>
      <c r="M17" s="97">
        <v>22</v>
      </c>
      <c r="N17" s="37"/>
      <c r="O17" s="33"/>
      <c r="P17" s="12"/>
      <c r="Q17" s="9"/>
      <c r="R17" s="97">
        <v>16</v>
      </c>
      <c r="S17" s="37"/>
      <c r="T17" s="33"/>
      <c r="U17" s="12"/>
      <c r="V17" s="9"/>
      <c r="W17" s="97"/>
      <c r="X17" s="37"/>
      <c r="Y17" s="33"/>
      <c r="Z17" s="12"/>
      <c r="AA17" s="9"/>
      <c r="AB17" s="97"/>
      <c r="AC17" s="37"/>
      <c r="AD17" s="33"/>
      <c r="AE17" s="12"/>
      <c r="AF17" s="9"/>
      <c r="AG17" s="97"/>
      <c r="AH17" s="147"/>
      <c r="AI17" s="37"/>
      <c r="AJ17" s="33"/>
      <c r="AK17" s="12"/>
      <c r="AL17" s="9"/>
    </row>
    <row r="18" spans="1:38" ht="18" customHeight="1">
      <c r="A18" s="164"/>
      <c r="B18" s="6" t="s">
        <v>14</v>
      </c>
      <c r="C18" s="127">
        <v>2</v>
      </c>
      <c r="D18" s="37"/>
      <c r="E18" s="33"/>
      <c r="F18" s="11"/>
      <c r="G18" s="11"/>
      <c r="H18" s="97">
        <v>19</v>
      </c>
      <c r="I18" s="37"/>
      <c r="J18" s="33"/>
      <c r="K18" s="12"/>
      <c r="L18" s="9"/>
      <c r="M18" s="97">
        <v>21</v>
      </c>
      <c r="N18" s="37"/>
      <c r="O18" s="33"/>
      <c r="P18" s="12"/>
      <c r="Q18" s="9"/>
      <c r="R18" s="97">
        <v>8</v>
      </c>
      <c r="S18" s="37"/>
      <c r="T18" s="33"/>
      <c r="U18" s="12"/>
      <c r="V18" s="9"/>
      <c r="W18" s="97">
        <v>17</v>
      </c>
      <c r="X18" s="37"/>
      <c r="Y18" s="33"/>
      <c r="Z18" s="12"/>
      <c r="AA18" s="9"/>
      <c r="AB18" s="97">
        <v>23</v>
      </c>
      <c r="AC18" s="37"/>
      <c r="AD18" s="33"/>
      <c r="AE18" s="12"/>
      <c r="AF18" s="9"/>
      <c r="AG18" s="97">
        <v>26</v>
      </c>
      <c r="AH18" s="147"/>
      <c r="AI18" s="37"/>
      <c r="AJ18" s="33"/>
      <c r="AK18" s="12"/>
      <c r="AL18" s="9"/>
    </row>
    <row r="19" spans="1:38" s="35" customFormat="1" ht="18" customHeight="1">
      <c r="A19" s="164"/>
      <c r="B19" s="6" t="s">
        <v>15</v>
      </c>
      <c r="C19" s="127">
        <v>4</v>
      </c>
      <c r="D19" s="38"/>
      <c r="E19" s="29"/>
      <c r="F19" s="39"/>
      <c r="G19" s="39"/>
      <c r="H19" s="98">
        <v>5</v>
      </c>
      <c r="I19" s="38"/>
      <c r="J19" s="29"/>
      <c r="K19" s="30"/>
      <c r="L19" s="99"/>
      <c r="M19" s="98">
        <v>15</v>
      </c>
      <c r="N19" s="38"/>
      <c r="O19" s="29"/>
      <c r="P19" s="30"/>
      <c r="Q19" s="99"/>
      <c r="R19" s="98">
        <v>9</v>
      </c>
      <c r="S19" s="38"/>
      <c r="T19" s="29"/>
      <c r="U19" s="30"/>
      <c r="V19" s="99"/>
      <c r="W19" s="98"/>
      <c r="X19" s="38"/>
      <c r="Y19" s="29"/>
      <c r="Z19" s="30"/>
      <c r="AA19" s="99"/>
      <c r="AB19" s="98"/>
      <c r="AC19" s="38"/>
      <c r="AD19" s="29"/>
      <c r="AE19" s="30"/>
      <c r="AF19" s="99"/>
      <c r="AG19" s="98"/>
      <c r="AH19" s="148"/>
      <c r="AI19" s="38"/>
      <c r="AJ19" s="29"/>
      <c r="AK19" s="30"/>
      <c r="AL19" s="99"/>
    </row>
    <row r="20" spans="1:38" ht="18" customHeight="1">
      <c r="A20" s="164"/>
      <c r="B20" s="6" t="s">
        <v>16</v>
      </c>
      <c r="C20" s="127">
        <v>20</v>
      </c>
      <c r="D20" s="37"/>
      <c r="E20" s="33"/>
      <c r="F20" s="11"/>
      <c r="G20" s="11"/>
      <c r="H20" s="97">
        <v>32</v>
      </c>
      <c r="I20" s="37"/>
      <c r="J20" s="33"/>
      <c r="K20" s="12"/>
      <c r="L20" s="9"/>
      <c r="M20" s="97">
        <v>55</v>
      </c>
      <c r="N20" s="37"/>
      <c r="O20" s="33"/>
      <c r="P20" s="12"/>
      <c r="Q20" s="9"/>
      <c r="R20" s="97">
        <v>40</v>
      </c>
      <c r="S20" s="37"/>
      <c r="T20" s="33"/>
      <c r="U20" s="12"/>
      <c r="V20" s="9"/>
      <c r="W20" s="97">
        <v>47</v>
      </c>
      <c r="X20" s="37"/>
      <c r="Y20" s="33"/>
      <c r="Z20" s="12"/>
      <c r="AA20" s="9"/>
      <c r="AB20" s="97">
        <v>40</v>
      </c>
      <c r="AC20" s="37"/>
      <c r="AD20" s="33"/>
      <c r="AE20" s="12"/>
      <c r="AF20" s="9"/>
      <c r="AG20" s="97">
        <v>46</v>
      </c>
      <c r="AH20" s="147"/>
      <c r="AI20" s="37"/>
      <c r="AJ20" s="33"/>
      <c r="AK20" s="12"/>
      <c r="AL20" s="9"/>
    </row>
    <row r="21" spans="1:38" ht="18" customHeight="1">
      <c r="A21" s="164"/>
      <c r="B21" s="6" t="s">
        <v>17</v>
      </c>
      <c r="C21" s="127">
        <v>6</v>
      </c>
      <c r="D21" s="37"/>
      <c r="E21" s="33"/>
      <c r="F21" s="11"/>
      <c r="G21" s="11"/>
      <c r="H21" s="97">
        <v>3</v>
      </c>
      <c r="I21" s="37"/>
      <c r="J21" s="33"/>
      <c r="K21" s="12"/>
      <c r="L21" s="9"/>
      <c r="M21" s="97">
        <v>2</v>
      </c>
      <c r="N21" s="37"/>
      <c r="O21" s="33"/>
      <c r="P21" s="12"/>
      <c r="Q21" s="9"/>
      <c r="R21" s="97">
        <v>4</v>
      </c>
      <c r="S21" s="37"/>
      <c r="T21" s="33"/>
      <c r="U21" s="12"/>
      <c r="V21" s="9"/>
      <c r="W21" s="97"/>
      <c r="X21" s="37"/>
      <c r="Y21" s="33"/>
      <c r="Z21" s="12"/>
      <c r="AA21" s="9"/>
      <c r="AB21" s="97"/>
      <c r="AC21" s="37"/>
      <c r="AD21" s="33"/>
      <c r="AE21" s="12"/>
      <c r="AF21" s="9"/>
      <c r="AG21" s="97"/>
      <c r="AH21" s="147"/>
      <c r="AI21" s="37"/>
      <c r="AJ21" s="33"/>
      <c r="AK21" s="12"/>
      <c r="AL21" s="9"/>
    </row>
    <row r="22" spans="1:38" ht="18" customHeight="1">
      <c r="A22" s="164"/>
      <c r="B22" s="6" t="s">
        <v>90</v>
      </c>
      <c r="C22" s="127"/>
      <c r="D22" s="37"/>
      <c r="E22" s="33"/>
      <c r="F22" s="11"/>
      <c r="G22" s="11"/>
      <c r="H22" s="97"/>
      <c r="I22" s="37"/>
      <c r="J22" s="33"/>
      <c r="K22" s="12"/>
      <c r="L22" s="9"/>
      <c r="M22" s="97"/>
      <c r="N22" s="37"/>
      <c r="O22" s="33"/>
      <c r="P22" s="12"/>
      <c r="Q22" s="9"/>
      <c r="R22" s="97"/>
      <c r="S22" s="37"/>
      <c r="T22" s="33"/>
      <c r="U22" s="12"/>
      <c r="V22" s="9"/>
      <c r="W22" s="97">
        <v>57</v>
      </c>
      <c r="X22" s="37"/>
      <c r="Y22" s="33"/>
      <c r="Z22" s="12"/>
      <c r="AA22" s="9"/>
      <c r="AB22" s="97">
        <v>50</v>
      </c>
      <c r="AC22" s="37"/>
      <c r="AD22" s="33"/>
      <c r="AE22" s="12"/>
      <c r="AF22" s="9"/>
      <c r="AG22" s="97">
        <v>45</v>
      </c>
      <c r="AH22" s="147"/>
      <c r="AI22" s="37"/>
      <c r="AJ22" s="33"/>
      <c r="AK22" s="12"/>
      <c r="AL22" s="9"/>
    </row>
    <row r="23" spans="1:38" ht="18" customHeight="1">
      <c r="A23" s="164"/>
      <c r="B23" s="6" t="s">
        <v>18</v>
      </c>
      <c r="C23" s="127">
        <v>31</v>
      </c>
      <c r="D23" s="37"/>
      <c r="E23" s="33"/>
      <c r="F23" s="11"/>
      <c r="G23" s="11"/>
      <c r="H23" s="97">
        <v>70</v>
      </c>
      <c r="I23" s="37"/>
      <c r="J23" s="33"/>
      <c r="K23" s="12"/>
      <c r="L23" s="9"/>
      <c r="M23" s="97">
        <v>72</v>
      </c>
      <c r="N23" s="37"/>
      <c r="O23" s="33"/>
      <c r="P23" s="12"/>
      <c r="Q23" s="9"/>
      <c r="R23" s="97">
        <v>66</v>
      </c>
      <c r="S23" s="37"/>
      <c r="T23" s="33"/>
      <c r="U23" s="12"/>
      <c r="V23" s="9"/>
      <c r="W23" s="97">
        <v>63</v>
      </c>
      <c r="X23" s="37"/>
      <c r="Y23" s="33"/>
      <c r="Z23" s="12"/>
      <c r="AA23" s="9"/>
      <c r="AB23" s="97">
        <v>62</v>
      </c>
      <c r="AC23" s="37"/>
      <c r="AD23" s="33"/>
      <c r="AE23" s="12"/>
      <c r="AF23" s="9"/>
      <c r="AG23" s="97">
        <v>87</v>
      </c>
      <c r="AH23" s="147"/>
      <c r="AI23" s="37"/>
      <c r="AJ23" s="33"/>
      <c r="AK23" s="12"/>
      <c r="AL23" s="9"/>
    </row>
    <row r="24" spans="1:38" s="60" customFormat="1" ht="18" customHeight="1">
      <c r="A24" s="164"/>
      <c r="B24" s="44" t="s">
        <v>19</v>
      </c>
      <c r="C24" s="128">
        <f>SUM(C14:C23)</f>
        <v>124</v>
      </c>
      <c r="D24" s="20"/>
      <c r="E24" s="61"/>
      <c r="F24" s="59"/>
      <c r="G24" s="59"/>
      <c r="H24" s="100">
        <f>SUM(H14:H23)</f>
        <v>230</v>
      </c>
      <c r="I24" s="20"/>
      <c r="J24" s="61"/>
      <c r="K24" s="56"/>
      <c r="L24" s="20"/>
      <c r="M24" s="100">
        <f>SUM(M14:M23)</f>
        <v>281</v>
      </c>
      <c r="N24" s="20"/>
      <c r="O24" s="61"/>
      <c r="P24" s="56"/>
      <c r="Q24" s="20"/>
      <c r="R24" s="100">
        <f>SUM(R14:R23)</f>
        <v>233</v>
      </c>
      <c r="S24" s="20"/>
      <c r="T24" s="61"/>
      <c r="U24" s="56"/>
      <c r="V24" s="20"/>
      <c r="W24" s="100">
        <f>SUM(W14:W23)</f>
        <v>301</v>
      </c>
      <c r="X24" s="20"/>
      <c r="Y24" s="61"/>
      <c r="Z24" s="56"/>
      <c r="AA24" s="20"/>
      <c r="AB24" s="100">
        <f>SUM(AB14:AB23)</f>
        <v>296</v>
      </c>
      <c r="AC24" s="20"/>
      <c r="AD24" s="61"/>
      <c r="AE24" s="56"/>
      <c r="AF24" s="20"/>
      <c r="AG24" s="100">
        <f>SUM(AG14:AG23)</f>
        <v>298</v>
      </c>
      <c r="AH24" s="149"/>
      <c r="AI24" s="20"/>
      <c r="AJ24" s="61"/>
      <c r="AK24" s="56"/>
      <c r="AL24" s="20"/>
    </row>
    <row r="25" spans="1:38" ht="18" customHeight="1">
      <c r="A25" s="164" t="s">
        <v>81</v>
      </c>
      <c r="B25" s="6" t="s">
        <v>10</v>
      </c>
      <c r="C25" s="127">
        <v>2</v>
      </c>
      <c r="D25" s="37"/>
      <c r="E25" s="33"/>
      <c r="F25" s="11"/>
      <c r="G25" s="11"/>
      <c r="H25" s="97"/>
      <c r="I25" s="37"/>
      <c r="J25" s="33"/>
      <c r="K25" s="12"/>
      <c r="L25" s="9"/>
      <c r="M25" s="97">
        <v>9</v>
      </c>
      <c r="N25" s="37"/>
      <c r="O25" s="33"/>
      <c r="P25" s="109"/>
      <c r="Q25" s="9"/>
      <c r="R25" s="97">
        <v>10</v>
      </c>
      <c r="S25" s="37"/>
      <c r="T25" s="33"/>
      <c r="U25" s="109"/>
      <c r="V25" s="9"/>
      <c r="W25" s="97"/>
      <c r="X25" s="37"/>
      <c r="Y25" s="33"/>
      <c r="Z25" s="109"/>
      <c r="AA25" s="9"/>
      <c r="AB25" s="97"/>
      <c r="AC25" s="37"/>
      <c r="AD25" s="33"/>
      <c r="AE25" s="109"/>
      <c r="AF25" s="9"/>
      <c r="AG25" s="97"/>
      <c r="AH25" s="147"/>
      <c r="AI25" s="37"/>
      <c r="AJ25" s="33"/>
      <c r="AK25" s="109"/>
      <c r="AL25" s="9"/>
    </row>
    <row r="26" spans="1:38" ht="18" customHeight="1">
      <c r="A26" s="164"/>
      <c r="B26" s="6" t="s">
        <v>11</v>
      </c>
      <c r="C26" s="127">
        <v>68</v>
      </c>
      <c r="D26" s="37"/>
      <c r="E26" s="33"/>
      <c r="F26" s="11"/>
      <c r="G26" s="11"/>
      <c r="H26" s="97"/>
      <c r="I26" s="37"/>
      <c r="J26" s="33"/>
      <c r="K26" s="12"/>
      <c r="L26" s="9"/>
      <c r="M26" s="97">
        <v>38</v>
      </c>
      <c r="N26" s="37"/>
      <c r="O26" s="33"/>
      <c r="P26" s="109"/>
      <c r="Q26" s="9"/>
      <c r="R26" s="97">
        <v>62</v>
      </c>
      <c r="S26" s="37"/>
      <c r="T26" s="33"/>
      <c r="U26" s="109"/>
      <c r="V26" s="9"/>
      <c r="W26" s="97">
        <v>48</v>
      </c>
      <c r="X26" s="37"/>
      <c r="Y26" s="33"/>
      <c r="Z26" s="109"/>
      <c r="AA26" s="9"/>
      <c r="AB26" s="97">
        <v>72</v>
      </c>
      <c r="AC26" s="37"/>
      <c r="AD26" s="33"/>
      <c r="AE26" s="109"/>
      <c r="AF26" s="9"/>
      <c r="AG26" s="97">
        <v>76</v>
      </c>
      <c r="AH26" s="147"/>
      <c r="AI26" s="37"/>
      <c r="AJ26" s="33"/>
      <c r="AK26" s="109"/>
      <c r="AL26" s="9"/>
    </row>
    <row r="27" spans="1:38" ht="18" customHeight="1">
      <c r="A27" s="164"/>
      <c r="B27" s="6" t="s">
        <v>12</v>
      </c>
      <c r="C27" s="127">
        <v>5</v>
      </c>
      <c r="D27" s="37"/>
      <c r="E27" s="33"/>
      <c r="F27" s="11"/>
      <c r="G27" s="11"/>
      <c r="H27" s="97"/>
      <c r="I27" s="37"/>
      <c r="J27" s="33"/>
      <c r="K27" s="13"/>
      <c r="L27" s="9"/>
      <c r="M27" s="97">
        <v>12</v>
      </c>
      <c r="N27" s="37"/>
      <c r="O27" s="33"/>
      <c r="P27" s="109"/>
      <c r="Q27" s="9"/>
      <c r="R27" s="97">
        <v>8</v>
      </c>
      <c r="S27" s="37"/>
      <c r="T27" s="33"/>
      <c r="U27" s="109"/>
      <c r="V27" s="9"/>
      <c r="W27" s="97"/>
      <c r="X27" s="37"/>
      <c r="Y27" s="33"/>
      <c r="Z27" s="109"/>
      <c r="AA27" s="9"/>
      <c r="AB27" s="97"/>
      <c r="AC27" s="37"/>
      <c r="AD27" s="33"/>
      <c r="AE27" s="109"/>
      <c r="AF27" s="9"/>
      <c r="AG27" s="97"/>
      <c r="AH27" s="147"/>
      <c r="AI27" s="37"/>
      <c r="AJ27" s="33"/>
      <c r="AK27" s="109"/>
      <c r="AL27" s="9"/>
    </row>
    <row r="28" spans="1:38" ht="18" customHeight="1">
      <c r="A28" s="164"/>
      <c r="B28" s="6" t="s">
        <v>13</v>
      </c>
      <c r="C28" s="127">
        <v>32</v>
      </c>
      <c r="D28" s="37"/>
      <c r="E28" s="33"/>
      <c r="F28" s="11"/>
      <c r="G28" s="11"/>
      <c r="H28" s="97"/>
      <c r="I28" s="37"/>
      <c r="J28" s="33"/>
      <c r="K28" s="12"/>
      <c r="L28" s="9"/>
      <c r="M28" s="97">
        <v>22</v>
      </c>
      <c r="N28" s="37"/>
      <c r="O28" s="33"/>
      <c r="P28" s="109"/>
      <c r="Q28" s="9"/>
      <c r="R28" s="97">
        <v>22</v>
      </c>
      <c r="S28" s="37"/>
      <c r="T28" s="33"/>
      <c r="U28" s="109"/>
      <c r="V28" s="9"/>
      <c r="W28" s="97"/>
      <c r="X28" s="37"/>
      <c r="Y28" s="33"/>
      <c r="Z28" s="109"/>
      <c r="AA28" s="9"/>
      <c r="AB28" s="97"/>
      <c r="AC28" s="37"/>
      <c r="AD28" s="33"/>
      <c r="AE28" s="109"/>
      <c r="AF28" s="9"/>
      <c r="AG28" s="97"/>
      <c r="AH28" s="147"/>
      <c r="AI28" s="37"/>
      <c r="AJ28" s="33"/>
      <c r="AK28" s="109"/>
      <c r="AL28" s="9"/>
    </row>
    <row r="29" spans="1:38" ht="18" customHeight="1">
      <c r="A29" s="164"/>
      <c r="B29" s="6" t="s">
        <v>14</v>
      </c>
      <c r="C29" s="127">
        <v>1</v>
      </c>
      <c r="D29" s="37"/>
      <c r="E29" s="33"/>
      <c r="F29" s="11"/>
      <c r="G29" s="11"/>
      <c r="H29" s="97"/>
      <c r="I29" s="37"/>
      <c r="J29" s="33"/>
      <c r="K29" s="12"/>
      <c r="L29" s="9"/>
      <c r="M29" s="97">
        <v>5</v>
      </c>
      <c r="N29" s="37"/>
      <c r="O29" s="33"/>
      <c r="P29" s="109"/>
      <c r="Q29" s="9"/>
      <c r="R29" s="97">
        <v>5</v>
      </c>
      <c r="S29" s="37"/>
      <c r="T29" s="33"/>
      <c r="U29" s="109"/>
      <c r="V29" s="9"/>
      <c r="W29" s="97">
        <v>2</v>
      </c>
      <c r="X29" s="37"/>
      <c r="Y29" s="33"/>
      <c r="Z29" s="109"/>
      <c r="AA29" s="9"/>
      <c r="AB29" s="97">
        <v>1</v>
      </c>
      <c r="AC29" s="37"/>
      <c r="AD29" s="33"/>
      <c r="AE29" s="109"/>
      <c r="AF29" s="9"/>
      <c r="AG29" s="97">
        <v>3</v>
      </c>
      <c r="AH29" s="147"/>
      <c r="AI29" s="37"/>
      <c r="AJ29" s="33"/>
      <c r="AK29" s="109"/>
      <c r="AL29" s="9"/>
    </row>
    <row r="30" spans="1:38" s="35" customFormat="1" ht="18" customHeight="1">
      <c r="A30" s="164"/>
      <c r="B30" s="6" t="s">
        <v>15</v>
      </c>
      <c r="C30" s="127">
        <v>7</v>
      </c>
      <c r="D30" s="38"/>
      <c r="E30" s="29"/>
      <c r="F30" s="39"/>
      <c r="G30" s="39"/>
      <c r="H30" s="98"/>
      <c r="I30" s="38"/>
      <c r="J30" s="29"/>
      <c r="K30" s="30"/>
      <c r="L30" s="99"/>
      <c r="M30" s="98">
        <v>8</v>
      </c>
      <c r="N30" s="38"/>
      <c r="O30" s="33"/>
      <c r="P30" s="109"/>
      <c r="Q30" s="99"/>
      <c r="R30" s="98">
        <v>19</v>
      </c>
      <c r="S30" s="38"/>
      <c r="T30" s="33"/>
      <c r="U30" s="109"/>
      <c r="V30" s="99"/>
      <c r="W30" s="98"/>
      <c r="X30" s="38"/>
      <c r="Y30" s="33"/>
      <c r="Z30" s="109"/>
      <c r="AA30" s="99"/>
      <c r="AB30" s="98"/>
      <c r="AC30" s="38"/>
      <c r="AD30" s="33"/>
      <c r="AE30" s="109"/>
      <c r="AF30" s="99"/>
      <c r="AG30" s="98"/>
      <c r="AH30" s="148"/>
      <c r="AI30" s="38"/>
      <c r="AJ30" s="33"/>
      <c r="AK30" s="109"/>
      <c r="AL30" s="99"/>
    </row>
    <row r="31" spans="1:38" ht="18" customHeight="1">
      <c r="A31" s="164"/>
      <c r="B31" s="6" t="s">
        <v>16</v>
      </c>
      <c r="C31" s="127">
        <v>10</v>
      </c>
      <c r="D31" s="37"/>
      <c r="E31" s="33"/>
      <c r="F31" s="11"/>
      <c r="G31" s="11"/>
      <c r="H31" s="97"/>
      <c r="I31" s="37"/>
      <c r="J31" s="33"/>
      <c r="K31" s="12"/>
      <c r="L31" s="9"/>
      <c r="M31" s="97">
        <v>15</v>
      </c>
      <c r="N31" s="37"/>
      <c r="O31" s="33"/>
      <c r="P31" s="109"/>
      <c r="Q31" s="9"/>
      <c r="R31" s="97">
        <v>24</v>
      </c>
      <c r="S31" s="37"/>
      <c r="T31" s="33"/>
      <c r="U31" s="109"/>
      <c r="V31" s="9"/>
      <c r="W31" s="97">
        <v>14</v>
      </c>
      <c r="X31" s="37"/>
      <c r="Y31" s="33"/>
      <c r="Z31" s="109"/>
      <c r="AA31" s="9"/>
      <c r="AB31" s="97">
        <v>16</v>
      </c>
      <c r="AC31" s="37"/>
      <c r="AD31" s="33"/>
      <c r="AE31" s="109"/>
      <c r="AF31" s="9"/>
      <c r="AG31" s="97">
        <v>21</v>
      </c>
      <c r="AH31" s="147"/>
      <c r="AI31" s="37"/>
      <c r="AJ31" s="33"/>
      <c r="AK31" s="109"/>
      <c r="AL31" s="9"/>
    </row>
    <row r="32" spans="1:38" ht="18" customHeight="1">
      <c r="A32" s="164"/>
      <c r="B32" s="6" t="s">
        <v>17</v>
      </c>
      <c r="C32" s="127">
        <v>2</v>
      </c>
      <c r="D32" s="37"/>
      <c r="E32" s="33"/>
      <c r="F32" s="11"/>
      <c r="G32" s="11"/>
      <c r="H32" s="97"/>
      <c r="I32" s="37"/>
      <c r="J32" s="33"/>
      <c r="K32" s="12"/>
      <c r="L32" s="9"/>
      <c r="M32" s="97">
        <v>1</v>
      </c>
      <c r="N32" s="37"/>
      <c r="O32" s="33"/>
      <c r="P32" s="109"/>
      <c r="Q32" s="9"/>
      <c r="R32" s="97">
        <v>6</v>
      </c>
      <c r="S32" s="37"/>
      <c r="T32" s="33"/>
      <c r="U32" s="109"/>
      <c r="V32" s="9"/>
      <c r="W32" s="97"/>
      <c r="X32" s="37"/>
      <c r="Y32" s="33"/>
      <c r="Z32" s="109"/>
      <c r="AA32" s="9"/>
      <c r="AB32" s="97"/>
      <c r="AC32" s="37"/>
      <c r="AD32" s="33"/>
      <c r="AE32" s="109"/>
      <c r="AF32" s="9"/>
      <c r="AG32" s="97"/>
      <c r="AH32" s="147"/>
      <c r="AI32" s="37"/>
      <c r="AJ32" s="33"/>
      <c r="AK32" s="109"/>
      <c r="AL32" s="9"/>
    </row>
    <row r="33" spans="1:38" ht="18" customHeight="1">
      <c r="A33" s="164"/>
      <c r="B33" s="6" t="s">
        <v>90</v>
      </c>
      <c r="C33" s="127"/>
      <c r="D33" s="37"/>
      <c r="E33" s="33"/>
      <c r="F33" s="11"/>
      <c r="G33" s="11"/>
      <c r="H33" s="97"/>
      <c r="I33" s="37"/>
      <c r="J33" s="33"/>
      <c r="K33" s="12"/>
      <c r="L33" s="9"/>
      <c r="M33" s="97"/>
      <c r="N33" s="37"/>
      <c r="O33" s="33"/>
      <c r="P33" s="109"/>
      <c r="Q33" s="9"/>
      <c r="R33" s="97"/>
      <c r="S33" s="37"/>
      <c r="T33" s="33"/>
      <c r="U33" s="109"/>
      <c r="V33" s="9"/>
      <c r="W33" s="97">
        <v>26</v>
      </c>
      <c r="X33" s="37"/>
      <c r="Y33" s="33"/>
      <c r="Z33" s="12"/>
      <c r="AA33" s="9"/>
      <c r="AB33" s="97">
        <v>56</v>
      </c>
      <c r="AC33" s="37"/>
      <c r="AD33" s="33"/>
      <c r="AE33" s="12"/>
      <c r="AF33" s="9"/>
      <c r="AG33" s="97">
        <v>67</v>
      </c>
      <c r="AH33" s="147"/>
      <c r="AI33" s="37"/>
      <c r="AJ33" s="33"/>
      <c r="AK33" s="12"/>
      <c r="AL33" s="9"/>
    </row>
    <row r="34" spans="1:38" ht="18" customHeight="1">
      <c r="A34" s="164"/>
      <c r="B34" s="6" t="s">
        <v>18</v>
      </c>
      <c r="C34" s="127">
        <v>1</v>
      </c>
      <c r="D34" s="37"/>
      <c r="E34" s="33"/>
      <c r="F34" s="11"/>
      <c r="G34" s="11"/>
      <c r="H34" s="97"/>
      <c r="I34" s="37"/>
      <c r="J34" s="33"/>
      <c r="K34" s="12"/>
      <c r="L34" s="9"/>
      <c r="M34" s="97">
        <v>10</v>
      </c>
      <c r="N34" s="37"/>
      <c r="O34" s="33"/>
      <c r="P34" s="109"/>
      <c r="Q34" s="9"/>
      <c r="R34" s="97">
        <v>16</v>
      </c>
      <c r="S34" s="37"/>
      <c r="T34" s="33"/>
      <c r="U34" s="109"/>
      <c r="V34" s="9"/>
      <c r="W34" s="97">
        <v>10</v>
      </c>
      <c r="X34" s="37"/>
      <c r="Y34" s="33"/>
      <c r="Z34" s="109"/>
      <c r="AA34" s="9"/>
      <c r="AB34" s="97">
        <v>20</v>
      </c>
      <c r="AC34" s="37"/>
      <c r="AD34" s="33"/>
      <c r="AE34" s="109"/>
      <c r="AF34" s="9"/>
      <c r="AG34" s="97">
        <v>18</v>
      </c>
      <c r="AH34" s="147"/>
      <c r="AI34" s="37"/>
      <c r="AJ34" s="33"/>
      <c r="AK34" s="109"/>
      <c r="AL34" s="9"/>
    </row>
    <row r="35" spans="1:38" s="60" customFormat="1" ht="18" customHeight="1">
      <c r="A35" s="164"/>
      <c r="B35" s="44" t="s">
        <v>19</v>
      </c>
      <c r="C35" s="128">
        <f>SUM(C25:C34)</f>
        <v>128</v>
      </c>
      <c r="D35" s="20"/>
      <c r="E35" s="61"/>
      <c r="F35" s="59"/>
      <c r="G35" s="59"/>
      <c r="H35" s="100">
        <f>150</f>
        <v>150</v>
      </c>
      <c r="I35" s="20"/>
      <c r="J35" s="61"/>
      <c r="K35" s="56"/>
      <c r="L35" s="20"/>
      <c r="M35" s="100">
        <f>SUM(M25:M34)</f>
        <v>120</v>
      </c>
      <c r="N35" s="20"/>
      <c r="O35" s="61"/>
      <c r="P35" s="61"/>
      <c r="Q35" s="20"/>
      <c r="R35" s="100">
        <f>SUM(R25:R34)</f>
        <v>172</v>
      </c>
      <c r="S35" s="20"/>
      <c r="T35" s="61"/>
      <c r="U35" s="61"/>
      <c r="V35" s="20"/>
      <c r="W35" s="100">
        <f>SUM(W25:W34)</f>
        <v>100</v>
      </c>
      <c r="X35" s="20"/>
      <c r="Y35" s="61"/>
      <c r="Z35" s="61"/>
      <c r="AA35" s="20"/>
      <c r="AB35" s="100">
        <f>SUM(AB25:AB34)</f>
        <v>165</v>
      </c>
      <c r="AC35" s="20"/>
      <c r="AD35" s="61"/>
      <c r="AE35" s="61"/>
      <c r="AF35" s="20"/>
      <c r="AG35" s="100">
        <f>SUM(AG25:AG34)</f>
        <v>185</v>
      </c>
      <c r="AH35" s="149"/>
      <c r="AI35" s="20"/>
      <c r="AJ35" s="61"/>
      <c r="AK35" s="61"/>
      <c r="AL35" s="20"/>
    </row>
    <row r="36" spans="1:38" ht="18" customHeight="1">
      <c r="A36" s="164" t="s">
        <v>79</v>
      </c>
      <c r="B36" s="6" t="s">
        <v>10</v>
      </c>
      <c r="C36" s="127"/>
      <c r="D36" s="37"/>
      <c r="E36" s="33"/>
      <c r="F36" s="11"/>
      <c r="G36" s="11"/>
      <c r="H36" s="97">
        <v>5</v>
      </c>
      <c r="I36" s="37">
        <v>1661.2279999999998</v>
      </c>
      <c r="J36" s="37"/>
      <c r="K36" s="12"/>
      <c r="L36" s="9"/>
      <c r="M36" s="97">
        <v>8</v>
      </c>
      <c r="N36" s="37">
        <v>2446.2120833333333</v>
      </c>
      <c r="O36" s="103"/>
      <c r="P36" s="12"/>
      <c r="Q36" s="9"/>
      <c r="R36" s="97">
        <v>6</v>
      </c>
      <c r="S36" s="37">
        <v>4996.166666666667</v>
      </c>
      <c r="T36" s="103"/>
      <c r="U36" s="12"/>
      <c r="V36" s="9"/>
      <c r="W36" s="97"/>
      <c r="X36" s="37"/>
      <c r="Y36" s="103"/>
      <c r="Z36" s="12"/>
      <c r="AA36" s="9"/>
      <c r="AB36" s="97"/>
      <c r="AC36" s="37"/>
      <c r="AD36" s="103"/>
      <c r="AE36" s="12"/>
      <c r="AF36" s="9"/>
      <c r="AG36" s="97"/>
      <c r="AH36" s="147"/>
      <c r="AI36" s="37"/>
      <c r="AJ36" s="103"/>
      <c r="AK36" s="12"/>
      <c r="AL36" s="9"/>
    </row>
    <row r="37" spans="1:38" ht="18" customHeight="1">
      <c r="A37" s="164"/>
      <c r="B37" s="6" t="s">
        <v>11</v>
      </c>
      <c r="C37" s="127"/>
      <c r="D37" s="37"/>
      <c r="E37" s="33"/>
      <c r="F37" s="11"/>
      <c r="G37" s="11"/>
      <c r="H37" s="97">
        <v>48</v>
      </c>
      <c r="I37" s="37">
        <v>3144.834375</v>
      </c>
      <c r="J37" s="37"/>
      <c r="K37" s="12"/>
      <c r="L37" s="9"/>
      <c r="M37" s="97">
        <v>84</v>
      </c>
      <c r="N37" s="37">
        <v>2190.1940476190475</v>
      </c>
      <c r="O37" s="103"/>
      <c r="P37" s="12"/>
      <c r="Q37" s="9"/>
      <c r="R37" s="97">
        <v>29</v>
      </c>
      <c r="S37" s="37">
        <v>3921.7627586206895</v>
      </c>
      <c r="T37" s="103"/>
      <c r="U37" s="12"/>
      <c r="V37" s="9"/>
      <c r="W37" s="97">
        <v>56</v>
      </c>
      <c r="X37" s="37">
        <v>2155.930892857143</v>
      </c>
      <c r="Y37" s="103"/>
      <c r="Z37" s="12"/>
      <c r="AA37" s="9"/>
      <c r="AB37" s="97">
        <v>35</v>
      </c>
      <c r="AC37" s="37">
        <f>123721.2/AB37</f>
        <v>3534.8914285714286</v>
      </c>
      <c r="AD37" s="103"/>
      <c r="AE37" s="12"/>
      <c r="AF37" s="9"/>
      <c r="AG37" s="97">
        <v>40</v>
      </c>
      <c r="AH37" s="147"/>
      <c r="AI37" s="37">
        <f>119312.52/AG37</f>
        <v>2982.813</v>
      </c>
      <c r="AJ37" s="103"/>
      <c r="AK37" s="12"/>
      <c r="AL37" s="9"/>
    </row>
    <row r="38" spans="1:38" ht="18" customHeight="1">
      <c r="A38" s="164"/>
      <c r="B38" s="6" t="s">
        <v>12</v>
      </c>
      <c r="C38" s="127"/>
      <c r="D38" s="37"/>
      <c r="E38" s="33"/>
      <c r="F38" s="11"/>
      <c r="G38" s="11"/>
      <c r="H38" s="97">
        <v>6</v>
      </c>
      <c r="I38" s="37">
        <v>1613.7266666666667</v>
      </c>
      <c r="J38" s="37"/>
      <c r="K38" s="13"/>
      <c r="L38" s="9"/>
      <c r="M38" s="97">
        <v>10</v>
      </c>
      <c r="N38" s="37">
        <v>2352.193</v>
      </c>
      <c r="O38" s="103"/>
      <c r="P38" s="13"/>
      <c r="Q38" s="9"/>
      <c r="R38" s="97">
        <v>3</v>
      </c>
      <c r="S38" s="37">
        <v>11000</v>
      </c>
      <c r="T38" s="103"/>
      <c r="U38" s="13"/>
      <c r="V38" s="9"/>
      <c r="W38" s="97"/>
      <c r="X38" s="37"/>
      <c r="Y38" s="103"/>
      <c r="Z38" s="13"/>
      <c r="AA38" s="9"/>
      <c r="AB38" s="97"/>
      <c r="AC38" s="37"/>
      <c r="AD38" s="103"/>
      <c r="AE38" s="13"/>
      <c r="AF38" s="9"/>
      <c r="AG38" s="97"/>
      <c r="AH38" s="147"/>
      <c r="AI38" s="37"/>
      <c r="AJ38" s="103"/>
      <c r="AK38" s="13"/>
      <c r="AL38" s="9"/>
    </row>
    <row r="39" spans="1:38" ht="18" customHeight="1">
      <c r="A39" s="164"/>
      <c r="B39" s="6" t="s">
        <v>13</v>
      </c>
      <c r="C39" s="127"/>
      <c r="D39" s="37"/>
      <c r="E39" s="33"/>
      <c r="F39" s="11"/>
      <c r="G39" s="11"/>
      <c r="H39" s="97">
        <v>2</v>
      </c>
      <c r="I39" s="37">
        <v>4693.48</v>
      </c>
      <c r="J39" s="37"/>
      <c r="K39" s="12"/>
      <c r="L39" s="9"/>
      <c r="M39" s="97">
        <v>3</v>
      </c>
      <c r="N39" s="37">
        <v>1303.1333333333334</v>
      </c>
      <c r="O39" s="103"/>
      <c r="P39" s="12"/>
      <c r="Q39" s="9"/>
      <c r="R39" s="97">
        <v>1</v>
      </c>
      <c r="S39" s="37">
        <v>5181.57</v>
      </c>
      <c r="T39" s="103"/>
      <c r="U39" s="12"/>
      <c r="V39" s="9"/>
      <c r="W39" s="97"/>
      <c r="X39" s="37"/>
      <c r="Y39" s="103"/>
      <c r="Z39" s="12"/>
      <c r="AA39" s="9"/>
      <c r="AB39" s="97"/>
      <c r="AC39" s="37"/>
      <c r="AD39" s="103"/>
      <c r="AE39" s="12"/>
      <c r="AF39" s="9"/>
      <c r="AG39" s="97"/>
      <c r="AH39" s="147"/>
      <c r="AI39" s="37"/>
      <c r="AJ39" s="103"/>
      <c r="AK39" s="12"/>
      <c r="AL39" s="9"/>
    </row>
    <row r="40" spans="1:38" ht="18" customHeight="1">
      <c r="A40" s="164"/>
      <c r="B40" s="6" t="s">
        <v>14</v>
      </c>
      <c r="C40" s="127"/>
      <c r="D40" s="37"/>
      <c r="E40" s="33"/>
      <c r="F40" s="11"/>
      <c r="G40" s="11"/>
      <c r="H40" s="97">
        <v>1</v>
      </c>
      <c r="I40" s="37">
        <v>1552.75</v>
      </c>
      <c r="J40" s="37"/>
      <c r="K40" s="12"/>
      <c r="L40" s="9"/>
      <c r="M40" s="97">
        <v>3</v>
      </c>
      <c r="N40" s="37">
        <v>1325.0533333333333</v>
      </c>
      <c r="O40" s="104"/>
      <c r="P40" s="12"/>
      <c r="Q40" s="9"/>
      <c r="R40" s="97">
        <v>0</v>
      </c>
      <c r="S40" s="37">
        <v>0</v>
      </c>
      <c r="T40" s="104"/>
      <c r="U40" s="12"/>
      <c r="V40" s="9"/>
      <c r="W40" s="97">
        <v>2</v>
      </c>
      <c r="X40" s="37">
        <v>1578.625</v>
      </c>
      <c r="Y40" s="104"/>
      <c r="Z40" s="12"/>
      <c r="AA40" s="9"/>
      <c r="AB40" s="97">
        <v>2</v>
      </c>
      <c r="AC40" s="37">
        <f>5511.6/AB40</f>
        <v>2755.8</v>
      </c>
      <c r="AD40" s="104"/>
      <c r="AE40" s="12"/>
      <c r="AF40" s="9"/>
      <c r="AG40" s="97">
        <v>3</v>
      </c>
      <c r="AH40" s="147"/>
      <c r="AI40" s="37">
        <f>3002.76/AG40</f>
        <v>1000.9200000000001</v>
      </c>
      <c r="AJ40" s="104"/>
      <c r="AK40" s="12"/>
      <c r="AL40" s="9"/>
    </row>
    <row r="41" spans="1:38" s="35" customFormat="1" ht="18" customHeight="1">
      <c r="A41" s="164"/>
      <c r="B41" s="6" t="s">
        <v>15</v>
      </c>
      <c r="C41" s="127"/>
      <c r="D41" s="38"/>
      <c r="E41" s="29"/>
      <c r="F41" s="39"/>
      <c r="G41" s="39"/>
      <c r="H41" s="98">
        <v>4</v>
      </c>
      <c r="I41" s="37">
        <v>2949.77</v>
      </c>
      <c r="J41" s="37"/>
      <c r="K41" s="30"/>
      <c r="L41" s="99"/>
      <c r="M41" s="98">
        <v>5</v>
      </c>
      <c r="N41" s="37">
        <v>2981.31</v>
      </c>
      <c r="O41" s="103"/>
      <c r="P41" s="30"/>
      <c r="Q41" s="99"/>
      <c r="R41" s="98">
        <v>2</v>
      </c>
      <c r="S41" s="37">
        <v>12300</v>
      </c>
      <c r="T41" s="103"/>
      <c r="U41" s="30"/>
      <c r="V41" s="99"/>
      <c r="W41" s="98"/>
      <c r="X41" s="37"/>
      <c r="Y41" s="103"/>
      <c r="Z41" s="30"/>
      <c r="AA41" s="99"/>
      <c r="AB41" s="98"/>
      <c r="AC41" s="37"/>
      <c r="AD41" s="103"/>
      <c r="AE41" s="30"/>
      <c r="AF41" s="99"/>
      <c r="AG41" s="98"/>
      <c r="AH41" s="148"/>
      <c r="AI41" s="37"/>
      <c r="AJ41" s="103"/>
      <c r="AK41" s="30"/>
      <c r="AL41" s="99"/>
    </row>
    <row r="42" spans="1:38" ht="18" customHeight="1">
      <c r="A42" s="164"/>
      <c r="B42" s="6" t="s">
        <v>16</v>
      </c>
      <c r="C42" s="127"/>
      <c r="D42" s="37"/>
      <c r="E42" s="33"/>
      <c r="F42" s="11"/>
      <c r="G42" s="11"/>
      <c r="H42" s="97">
        <v>15</v>
      </c>
      <c r="I42" s="37">
        <v>2395.288666666667</v>
      </c>
      <c r="J42" s="37"/>
      <c r="K42" s="12"/>
      <c r="L42" s="9"/>
      <c r="M42" s="97">
        <v>31</v>
      </c>
      <c r="N42" s="37">
        <v>2282.2748387096776</v>
      </c>
      <c r="O42" s="103"/>
      <c r="P42" s="12"/>
      <c r="Q42" s="9"/>
      <c r="R42" s="97">
        <v>11</v>
      </c>
      <c r="S42" s="37">
        <v>5792.496363636365</v>
      </c>
      <c r="T42" s="103"/>
      <c r="U42" s="12"/>
      <c r="V42" s="9"/>
      <c r="W42" s="97">
        <v>21</v>
      </c>
      <c r="X42" s="37">
        <v>1737.5480952380954</v>
      </c>
      <c r="Y42" s="103"/>
      <c r="Z42" s="12"/>
      <c r="AA42" s="9"/>
      <c r="AB42" s="97">
        <v>11</v>
      </c>
      <c r="AC42" s="37">
        <f>21195.83/AB42</f>
        <v>1926.8936363636365</v>
      </c>
      <c r="AD42" s="103"/>
      <c r="AE42" s="12"/>
      <c r="AF42" s="9"/>
      <c r="AG42" s="97">
        <v>9</v>
      </c>
      <c r="AH42" s="147"/>
      <c r="AI42" s="37">
        <f>18216.7/AG42</f>
        <v>2024.0777777777778</v>
      </c>
      <c r="AJ42" s="103"/>
      <c r="AK42" s="12"/>
      <c r="AL42" s="9"/>
    </row>
    <row r="43" spans="1:38" ht="18" customHeight="1">
      <c r="A43" s="164"/>
      <c r="B43" s="6" t="s">
        <v>17</v>
      </c>
      <c r="C43" s="127"/>
      <c r="D43" s="37"/>
      <c r="E43" s="33"/>
      <c r="F43" s="11"/>
      <c r="G43" s="11"/>
      <c r="H43" s="97">
        <v>2</v>
      </c>
      <c r="I43" s="37">
        <v>2329.07</v>
      </c>
      <c r="J43" s="37"/>
      <c r="K43" s="12"/>
      <c r="L43" s="9"/>
      <c r="M43" s="97">
        <v>1</v>
      </c>
      <c r="N43" s="37">
        <v>1948.8</v>
      </c>
      <c r="O43" s="103"/>
      <c r="P43" s="12"/>
      <c r="Q43" s="9"/>
      <c r="R43" s="97">
        <v>0</v>
      </c>
      <c r="S43" s="37">
        <v>0</v>
      </c>
      <c r="T43" s="103"/>
      <c r="U43" s="12"/>
      <c r="V43" s="9"/>
      <c r="W43" s="97"/>
      <c r="X43" s="37"/>
      <c r="Y43" s="103"/>
      <c r="Z43" s="12"/>
      <c r="AA43" s="9"/>
      <c r="AB43" s="97"/>
      <c r="AC43" s="37"/>
      <c r="AD43" s="103"/>
      <c r="AE43" s="12"/>
      <c r="AF43" s="9"/>
      <c r="AG43" s="97"/>
      <c r="AH43" s="147"/>
      <c r="AI43" s="37"/>
      <c r="AJ43" s="103"/>
      <c r="AK43" s="12"/>
      <c r="AL43" s="9"/>
    </row>
    <row r="44" spans="1:38" ht="18" customHeight="1">
      <c r="A44" s="164"/>
      <c r="B44" s="6" t="s">
        <v>90</v>
      </c>
      <c r="C44" s="127"/>
      <c r="D44" s="37"/>
      <c r="E44" s="33"/>
      <c r="F44" s="11"/>
      <c r="G44" s="11"/>
      <c r="H44" s="97"/>
      <c r="I44" s="37"/>
      <c r="J44" s="37"/>
      <c r="K44" s="12"/>
      <c r="L44" s="9"/>
      <c r="M44" s="97"/>
      <c r="N44" s="37"/>
      <c r="O44" s="103"/>
      <c r="P44" s="12"/>
      <c r="Q44" s="9"/>
      <c r="R44" s="97"/>
      <c r="S44" s="37"/>
      <c r="T44" s="103"/>
      <c r="U44" s="12"/>
      <c r="V44" s="9"/>
      <c r="W44" s="97">
        <v>16</v>
      </c>
      <c r="X44" s="37">
        <f>34487.44/16</f>
        <v>2155.465</v>
      </c>
      <c r="Y44" s="33"/>
      <c r="Z44" s="12"/>
      <c r="AA44" s="9"/>
      <c r="AB44" s="97">
        <v>7</v>
      </c>
      <c r="AC44" s="37">
        <f>23147.25/AB44</f>
        <v>3306.75</v>
      </c>
      <c r="AD44" s="33"/>
      <c r="AE44" s="12"/>
      <c r="AF44" s="9"/>
      <c r="AG44" s="97">
        <v>8</v>
      </c>
      <c r="AH44" s="147"/>
      <c r="AI44" s="37">
        <f>19945.89/AG44</f>
        <v>2493.23625</v>
      </c>
      <c r="AJ44" s="33"/>
      <c r="AK44" s="12"/>
      <c r="AL44" s="9"/>
    </row>
    <row r="45" spans="1:38" ht="18" customHeight="1">
      <c r="A45" s="164"/>
      <c r="B45" s="6" t="s">
        <v>18</v>
      </c>
      <c r="C45" s="127"/>
      <c r="D45" s="37"/>
      <c r="E45" s="33"/>
      <c r="F45" s="11"/>
      <c r="G45" s="11"/>
      <c r="H45" s="97">
        <v>32</v>
      </c>
      <c r="I45" s="37">
        <v>2415.135</v>
      </c>
      <c r="J45" s="37"/>
      <c r="K45" s="12"/>
      <c r="L45" s="9"/>
      <c r="M45" s="97">
        <v>42</v>
      </c>
      <c r="N45" s="37">
        <v>2425.355476190476</v>
      </c>
      <c r="O45" s="103"/>
      <c r="P45" s="12"/>
      <c r="Q45" s="9"/>
      <c r="R45" s="97">
        <v>8</v>
      </c>
      <c r="S45" s="37">
        <v>3489.09</v>
      </c>
      <c r="T45" s="103"/>
      <c r="U45" s="12"/>
      <c r="V45" s="9"/>
      <c r="W45" s="97">
        <v>27</v>
      </c>
      <c r="X45" s="37">
        <v>1405.1144197530864</v>
      </c>
      <c r="Y45" s="103"/>
      <c r="Z45" s="12"/>
      <c r="AA45" s="9"/>
      <c r="AB45" s="97">
        <v>19</v>
      </c>
      <c r="AC45" s="37">
        <f>51116.8/AB45</f>
        <v>2690.3578947368424</v>
      </c>
      <c r="AD45" s="103"/>
      <c r="AE45" s="12"/>
      <c r="AF45" s="9"/>
      <c r="AG45" s="97">
        <v>19</v>
      </c>
      <c r="AH45" s="147"/>
      <c r="AI45" s="37">
        <f>42712.18/AG45</f>
        <v>2248.0094736842107</v>
      </c>
      <c r="AJ45" s="103"/>
      <c r="AK45" s="12"/>
      <c r="AL45" s="9"/>
    </row>
    <row r="46" spans="1:38" s="60" customFormat="1" ht="18" customHeight="1">
      <c r="A46" s="164"/>
      <c r="B46" s="44" t="s">
        <v>19</v>
      </c>
      <c r="C46" s="128">
        <f>SUM(C36:C45)</f>
        <v>0</v>
      </c>
      <c r="D46" s="20"/>
      <c r="E46" s="61"/>
      <c r="F46" s="59"/>
      <c r="G46" s="59"/>
      <c r="H46" s="100">
        <f>SUM(H36:H45)</f>
        <v>115</v>
      </c>
      <c r="I46" s="20">
        <f>309551.13/H46</f>
        <v>2691.7489565217393</v>
      </c>
      <c r="J46" s="61"/>
      <c r="K46" s="56"/>
      <c r="L46" s="20"/>
      <c r="M46" s="100">
        <f>SUM(M36:M45)</f>
        <v>187</v>
      </c>
      <c r="N46" s="20">
        <f>424423.29/M46</f>
        <v>2269.6432620320857</v>
      </c>
      <c r="O46" s="61"/>
      <c r="P46" s="56"/>
      <c r="Q46" s="20"/>
      <c r="R46" s="100">
        <f>SUM(R36:R45)</f>
        <v>60</v>
      </c>
      <c r="S46" s="20">
        <f>298119.87/R46</f>
        <v>4968.6645</v>
      </c>
      <c r="T46" s="61"/>
      <c r="U46" s="56"/>
      <c r="V46" s="20"/>
      <c r="W46" s="100">
        <f>SUM(W36:W45)</f>
        <v>122</v>
      </c>
      <c r="X46" s="20">
        <v>1908.22474863388</v>
      </c>
      <c r="Y46" s="61"/>
      <c r="Z46" s="56"/>
      <c r="AA46" s="20"/>
      <c r="AB46" s="100">
        <f>SUM(AB36:AB45)</f>
        <v>74</v>
      </c>
      <c r="AC46" s="20">
        <f>224692.68/AB46</f>
        <v>3036.3875675675677</v>
      </c>
      <c r="AD46" s="61"/>
      <c r="AE46" s="56"/>
      <c r="AF46" s="20"/>
      <c r="AG46" s="100">
        <f>SUM(AG36:AG45)</f>
        <v>79</v>
      </c>
      <c r="AH46" s="149"/>
      <c r="AI46" s="20">
        <f>203190.05/AG46</f>
        <v>2572.0259493670883</v>
      </c>
      <c r="AJ46" s="61"/>
      <c r="AK46" s="56"/>
      <c r="AL46" s="20"/>
    </row>
    <row r="47" spans="1:38" ht="18" customHeight="1">
      <c r="A47" s="164" t="s">
        <v>0</v>
      </c>
      <c r="B47" s="6" t="s">
        <v>10</v>
      </c>
      <c r="C47" s="127">
        <v>3</v>
      </c>
      <c r="D47" s="37">
        <f>2977.75/3</f>
        <v>992.5833333333334</v>
      </c>
      <c r="E47" s="33">
        <f>111/3</f>
        <v>37</v>
      </c>
      <c r="F47" s="11"/>
      <c r="G47" s="11"/>
      <c r="H47" s="97">
        <v>9</v>
      </c>
      <c r="I47" s="37">
        <f>8928/H47</f>
        <v>992</v>
      </c>
      <c r="J47" s="33">
        <f>319/H47</f>
        <v>35.44444444444444</v>
      </c>
      <c r="K47" s="12"/>
      <c r="L47" s="9"/>
      <c r="M47" s="97">
        <v>9</v>
      </c>
      <c r="N47" s="37">
        <v>879.5656029813516</v>
      </c>
      <c r="O47" s="33">
        <v>31.703333333333333</v>
      </c>
      <c r="P47" s="12"/>
      <c r="Q47" s="9"/>
      <c r="R47" s="97">
        <v>17</v>
      </c>
      <c r="S47" s="37">
        <v>0</v>
      </c>
      <c r="T47" s="33">
        <v>19.370588235294118</v>
      </c>
      <c r="U47" s="12"/>
      <c r="V47" s="9"/>
      <c r="W47" s="97"/>
      <c r="X47" s="37"/>
      <c r="Y47" s="33"/>
      <c r="Z47" s="12"/>
      <c r="AA47" s="9"/>
      <c r="AB47" s="97"/>
      <c r="AC47" s="37"/>
      <c r="AD47" s="33"/>
      <c r="AE47" s="12"/>
      <c r="AF47" s="9"/>
      <c r="AG47" s="97"/>
      <c r="AH47" s="147"/>
      <c r="AI47" s="37"/>
      <c r="AJ47" s="33"/>
      <c r="AK47" s="12"/>
      <c r="AL47" s="9"/>
    </row>
    <row r="48" spans="1:38" ht="18" customHeight="1">
      <c r="A48" s="164"/>
      <c r="B48" s="6" t="s">
        <v>11</v>
      </c>
      <c r="C48" s="127">
        <v>21</v>
      </c>
      <c r="D48" s="37">
        <f>41044.69/21</f>
        <v>1954.5090476190478</v>
      </c>
      <c r="E48" s="33">
        <f>1530/21</f>
        <v>72.85714285714286</v>
      </c>
      <c r="F48" s="11"/>
      <c r="G48" s="11"/>
      <c r="H48" s="97">
        <v>34</v>
      </c>
      <c r="I48" s="37">
        <f>40263.81/H48</f>
        <v>1184.2297058823528</v>
      </c>
      <c r="J48" s="33">
        <f>1437/H48</f>
        <v>42.26470588235294</v>
      </c>
      <c r="K48" s="12"/>
      <c r="L48" s="9"/>
      <c r="M48" s="97">
        <v>39</v>
      </c>
      <c r="N48" s="37">
        <v>860.7342826982267</v>
      </c>
      <c r="O48" s="33">
        <v>31.024571428571416</v>
      </c>
      <c r="P48" s="12"/>
      <c r="Q48" s="9"/>
      <c r="R48" s="97">
        <v>62</v>
      </c>
      <c r="S48" s="37">
        <v>741.3449129041082</v>
      </c>
      <c r="T48" s="33">
        <v>20.962903225806453</v>
      </c>
      <c r="U48" s="12"/>
      <c r="V48" s="9"/>
      <c r="W48" s="97">
        <v>59</v>
      </c>
      <c r="X48" s="37">
        <v>580.2251384460479</v>
      </c>
      <c r="Y48" s="33">
        <v>17.47457627118644</v>
      </c>
      <c r="Z48" s="12"/>
      <c r="AA48" s="9"/>
      <c r="AB48" s="97">
        <v>77</v>
      </c>
      <c r="AC48" s="37">
        <f>42672.15/AB48</f>
        <v>554.1837662337663</v>
      </c>
      <c r="AD48" s="33">
        <f>1258/AB48</f>
        <v>16.337662337662337</v>
      </c>
      <c r="AE48" s="12"/>
      <c r="AF48" s="9"/>
      <c r="AG48" s="97">
        <v>79</v>
      </c>
      <c r="AH48" s="147"/>
      <c r="AI48" s="37">
        <v>534.1260759493671</v>
      </c>
      <c r="AJ48" s="33">
        <v>19.045316455696202</v>
      </c>
      <c r="AK48" s="12"/>
      <c r="AL48" s="9"/>
    </row>
    <row r="49" spans="1:38" ht="18" customHeight="1">
      <c r="A49" s="164"/>
      <c r="B49" s="6" t="s">
        <v>12</v>
      </c>
      <c r="C49" s="127">
        <v>1</v>
      </c>
      <c r="D49" s="37">
        <f>1502.29/1</f>
        <v>1502.29</v>
      </c>
      <c r="E49" s="33">
        <v>56</v>
      </c>
      <c r="F49" s="11"/>
      <c r="G49" s="11"/>
      <c r="H49" s="97">
        <v>3</v>
      </c>
      <c r="I49" s="37">
        <f>1512.37/H49</f>
        <v>504.1233333333333</v>
      </c>
      <c r="J49" s="33">
        <f>54/H49</f>
        <v>18</v>
      </c>
      <c r="K49" s="13"/>
      <c r="L49" s="9"/>
      <c r="M49" s="97">
        <v>3</v>
      </c>
      <c r="N49" s="37">
        <v>612.6718662339875</v>
      </c>
      <c r="O49" s="33">
        <v>22.083333333333332</v>
      </c>
      <c r="P49" s="12"/>
      <c r="Q49" s="9"/>
      <c r="R49" s="97">
        <v>5</v>
      </c>
      <c r="S49" s="37">
        <v>599.0765062129158</v>
      </c>
      <c r="T49" s="33">
        <v>16.94</v>
      </c>
      <c r="U49" s="12"/>
      <c r="V49" s="9"/>
      <c r="W49" s="97"/>
      <c r="X49" s="37"/>
      <c r="Y49" s="33"/>
      <c r="Z49" s="12"/>
      <c r="AA49" s="9"/>
      <c r="AB49" s="97"/>
      <c r="AC49" s="37"/>
      <c r="AD49" s="33"/>
      <c r="AE49" s="12"/>
      <c r="AF49" s="9"/>
      <c r="AG49" s="97"/>
      <c r="AH49" s="147"/>
      <c r="AI49" s="37"/>
      <c r="AJ49" s="33"/>
      <c r="AK49" s="12"/>
      <c r="AL49" s="9"/>
    </row>
    <row r="50" spans="1:38" ht="18" customHeight="1">
      <c r="A50" s="164"/>
      <c r="B50" s="6" t="s">
        <v>13</v>
      </c>
      <c r="C50" s="127">
        <v>22</v>
      </c>
      <c r="D50" s="37">
        <f>26357.13/22</f>
        <v>1198.0513636363637</v>
      </c>
      <c r="E50" s="33">
        <f>982.5/22</f>
        <v>44.65909090909091</v>
      </c>
      <c r="F50" s="11"/>
      <c r="G50" s="11"/>
      <c r="H50" s="97">
        <v>17</v>
      </c>
      <c r="I50" s="37">
        <f>15660.05/H50</f>
        <v>921.1794117647058</v>
      </c>
      <c r="J50" s="33">
        <f>559.15/H50</f>
        <v>32.891176470588235</v>
      </c>
      <c r="K50" s="12"/>
      <c r="L50" s="9"/>
      <c r="M50" s="97">
        <v>21</v>
      </c>
      <c r="N50" s="37">
        <v>749.8046742449586</v>
      </c>
      <c r="O50" s="33">
        <v>27.026190476190475</v>
      </c>
      <c r="P50" s="12"/>
      <c r="Q50" s="9"/>
      <c r="R50" s="97">
        <v>10</v>
      </c>
      <c r="S50" s="37">
        <v>431.4482512277197</v>
      </c>
      <c r="T50" s="33">
        <v>12.2</v>
      </c>
      <c r="U50" s="12"/>
      <c r="V50" s="9"/>
      <c r="W50" s="97"/>
      <c r="X50" s="37"/>
      <c r="Y50" s="33"/>
      <c r="Z50" s="12"/>
      <c r="AA50" s="9"/>
      <c r="AB50" s="97"/>
      <c r="AC50" s="37"/>
      <c r="AD50" s="33"/>
      <c r="AE50" s="12"/>
      <c r="AF50" s="9"/>
      <c r="AG50" s="97"/>
      <c r="AH50" s="147"/>
      <c r="AI50" s="37"/>
      <c r="AJ50" s="33"/>
      <c r="AK50" s="12"/>
      <c r="AL50" s="9"/>
    </row>
    <row r="51" spans="1:38" ht="18" customHeight="1">
      <c r="A51" s="164"/>
      <c r="B51" s="6" t="s">
        <v>14</v>
      </c>
      <c r="C51" s="127">
        <v>14</v>
      </c>
      <c r="D51" s="37">
        <f>17646.53/14</f>
        <v>1260.4664285714284</v>
      </c>
      <c r="E51" s="33">
        <f>657.8/14</f>
        <v>46.98571428571428</v>
      </c>
      <c r="F51" s="11"/>
      <c r="G51" s="11"/>
      <c r="H51" s="97">
        <v>16</v>
      </c>
      <c r="I51" s="37">
        <f>12867.2/H51</f>
        <v>804.2</v>
      </c>
      <c r="J51" s="33">
        <f>459.43/H51</f>
        <v>28.714375</v>
      </c>
      <c r="K51" s="12"/>
      <c r="L51" s="9"/>
      <c r="M51" s="97">
        <v>20</v>
      </c>
      <c r="N51" s="37">
        <v>740.1584777354008</v>
      </c>
      <c r="O51" s="33">
        <v>26.678500000000003</v>
      </c>
      <c r="P51" s="12"/>
      <c r="Q51" s="9"/>
      <c r="R51" s="97">
        <v>19</v>
      </c>
      <c r="S51" s="37">
        <v>980.902624663539</v>
      </c>
      <c r="T51" s="33">
        <v>27.736842105263158</v>
      </c>
      <c r="U51" s="12"/>
      <c r="V51" s="9"/>
      <c r="W51" s="97">
        <v>28</v>
      </c>
      <c r="X51" s="37">
        <v>710.9205091937765</v>
      </c>
      <c r="Y51" s="33">
        <v>21.410714285714285</v>
      </c>
      <c r="Z51" s="12"/>
      <c r="AA51" s="9"/>
      <c r="AB51" s="97">
        <v>36</v>
      </c>
      <c r="AC51" s="37">
        <f>21336.07/AB51</f>
        <v>592.6686111111111</v>
      </c>
      <c r="AD51" s="33">
        <f>629/AB51</f>
        <v>17.47222222222222</v>
      </c>
      <c r="AE51" s="12"/>
      <c r="AF51" s="9"/>
      <c r="AG51" s="97">
        <v>32</v>
      </c>
      <c r="AH51" s="147"/>
      <c r="AI51" s="37">
        <v>541.8384375</v>
      </c>
      <c r="AJ51" s="33">
        <v>19.3203125</v>
      </c>
      <c r="AK51" s="12"/>
      <c r="AL51" s="9"/>
    </row>
    <row r="52" spans="1:38" s="35" customFormat="1" ht="18" customHeight="1">
      <c r="A52" s="164"/>
      <c r="B52" s="6" t="s">
        <v>15</v>
      </c>
      <c r="C52" s="127"/>
      <c r="D52" s="38"/>
      <c r="E52" s="29"/>
      <c r="F52" s="39"/>
      <c r="G52" s="39"/>
      <c r="H52" s="98">
        <v>2</v>
      </c>
      <c r="I52" s="38">
        <f>1359.73/H52</f>
        <v>679.865</v>
      </c>
      <c r="J52" s="29">
        <f>48.55/2</f>
        <v>24.275</v>
      </c>
      <c r="K52" s="30"/>
      <c r="L52" s="99"/>
      <c r="M52" s="98">
        <v>14</v>
      </c>
      <c r="N52" s="37">
        <v>927.0930862972926</v>
      </c>
      <c r="O52" s="33">
        <v>33.41642857142857</v>
      </c>
      <c r="P52" s="12"/>
      <c r="Q52" s="99"/>
      <c r="R52" s="98">
        <v>13</v>
      </c>
      <c r="S52" s="37">
        <v>791.6232100079851</v>
      </c>
      <c r="T52" s="33">
        <v>22.384615384615383</v>
      </c>
      <c r="U52" s="12"/>
      <c r="V52" s="99"/>
      <c r="W52" s="98"/>
      <c r="X52" s="37"/>
      <c r="Y52" s="33"/>
      <c r="Z52" s="12"/>
      <c r="AA52" s="99"/>
      <c r="AB52" s="98"/>
      <c r="AC52" s="37"/>
      <c r="AD52" s="33"/>
      <c r="AE52" s="12"/>
      <c r="AF52" s="99"/>
      <c r="AG52" s="98"/>
      <c r="AH52" s="148"/>
      <c r="AI52" s="37"/>
      <c r="AJ52" s="33"/>
      <c r="AK52" s="12"/>
      <c r="AL52" s="99"/>
    </row>
    <row r="53" spans="1:38" ht="18" customHeight="1">
      <c r="A53" s="164"/>
      <c r="B53" s="6" t="s">
        <v>16</v>
      </c>
      <c r="C53" s="127">
        <v>7</v>
      </c>
      <c r="D53" s="37">
        <f>5150.71/7</f>
        <v>735.8157142857143</v>
      </c>
      <c r="E53" s="33">
        <f>192/7</f>
        <v>27.428571428571427</v>
      </c>
      <c r="F53" s="11"/>
      <c r="G53" s="11"/>
      <c r="H53" s="97">
        <v>14</v>
      </c>
      <c r="I53" s="37">
        <f>10993.54/H53</f>
        <v>785.2528571428572</v>
      </c>
      <c r="J53" s="33">
        <f>392.53/14</f>
        <v>28.037857142857142</v>
      </c>
      <c r="K53" s="12"/>
      <c r="L53" s="9"/>
      <c r="M53" s="97">
        <v>21</v>
      </c>
      <c r="N53" s="37">
        <v>862.3513400874889</v>
      </c>
      <c r="O53" s="33">
        <v>31.082857142857144</v>
      </c>
      <c r="P53" s="12"/>
      <c r="Q53" s="9"/>
      <c r="R53" s="97">
        <v>30</v>
      </c>
      <c r="S53" s="37">
        <v>851.6977090492559</v>
      </c>
      <c r="T53" s="33">
        <v>24.083333333333332</v>
      </c>
      <c r="U53" s="12"/>
      <c r="V53" s="9"/>
      <c r="W53" s="97">
        <v>33</v>
      </c>
      <c r="X53" s="37">
        <v>672.1286528652867</v>
      </c>
      <c r="Y53" s="33">
        <v>20.242424242424242</v>
      </c>
      <c r="Z53" s="12"/>
      <c r="AA53" s="9"/>
      <c r="AB53" s="97">
        <v>38</v>
      </c>
      <c r="AC53" s="37">
        <f>24762.06/AB53</f>
        <v>651.6331578947369</v>
      </c>
      <c r="AD53" s="33">
        <f>730/AB53</f>
        <v>19.210526315789473</v>
      </c>
      <c r="AE53" s="12"/>
      <c r="AF53" s="9"/>
      <c r="AG53" s="97">
        <v>32</v>
      </c>
      <c r="AH53" s="147"/>
      <c r="AI53" s="37">
        <v>783.6565625</v>
      </c>
      <c r="AJ53" s="33">
        <v>27.9428125</v>
      </c>
      <c r="AK53" s="12"/>
      <c r="AL53" s="9"/>
    </row>
    <row r="54" spans="1:38" ht="18" customHeight="1">
      <c r="A54" s="164"/>
      <c r="B54" s="6" t="s">
        <v>17</v>
      </c>
      <c r="C54" s="127">
        <v>6</v>
      </c>
      <c r="D54" s="37">
        <f>8565.73/6</f>
        <v>1427.6216666666667</v>
      </c>
      <c r="E54" s="33">
        <f>319.3/6</f>
        <v>53.21666666666667</v>
      </c>
      <c r="F54" s="11"/>
      <c r="G54" s="11"/>
      <c r="H54" s="97">
        <v>8</v>
      </c>
      <c r="I54" s="37">
        <f>8570.11/H54</f>
        <v>1071.26375</v>
      </c>
      <c r="J54" s="33">
        <f>306/8</f>
        <v>38.25</v>
      </c>
      <c r="K54" s="12"/>
      <c r="L54" s="9"/>
      <c r="M54" s="97">
        <v>11</v>
      </c>
      <c r="N54" s="37">
        <v>1074.6369623258072</v>
      </c>
      <c r="O54" s="33">
        <v>38.734545454545454</v>
      </c>
      <c r="P54" s="12"/>
      <c r="Q54" s="9"/>
      <c r="R54" s="97">
        <v>5</v>
      </c>
      <c r="S54" s="37">
        <v>581.7478469422942</v>
      </c>
      <c r="T54" s="33">
        <v>16.45</v>
      </c>
      <c r="U54" s="12"/>
      <c r="V54" s="9"/>
      <c r="W54" s="97"/>
      <c r="X54" s="28"/>
      <c r="Y54" s="28"/>
      <c r="Z54" s="12"/>
      <c r="AA54" s="9"/>
      <c r="AB54" s="97"/>
      <c r="AC54" s="28"/>
      <c r="AD54" s="28"/>
      <c r="AE54" s="12"/>
      <c r="AF54" s="9"/>
      <c r="AG54" s="97"/>
      <c r="AH54" s="147"/>
      <c r="AI54" s="37"/>
      <c r="AJ54" s="28"/>
      <c r="AK54" s="12"/>
      <c r="AL54" s="9"/>
    </row>
    <row r="55" spans="1:38" ht="18" customHeight="1">
      <c r="A55" s="164"/>
      <c r="B55" s="6" t="s">
        <v>90</v>
      </c>
      <c r="C55" s="127"/>
      <c r="D55" s="37"/>
      <c r="E55" s="33"/>
      <c r="F55" s="11"/>
      <c r="G55" s="11"/>
      <c r="H55" s="97"/>
      <c r="I55" s="37"/>
      <c r="J55" s="33"/>
      <c r="K55" s="12"/>
      <c r="L55" s="9"/>
      <c r="M55" s="97"/>
      <c r="N55" s="37"/>
      <c r="O55" s="33"/>
      <c r="P55" s="12"/>
      <c r="Q55" s="9"/>
      <c r="R55" s="97"/>
      <c r="S55" s="37"/>
      <c r="T55" s="33"/>
      <c r="U55" s="12"/>
      <c r="V55" s="9"/>
      <c r="W55" s="97">
        <v>48</v>
      </c>
      <c r="X55" s="37">
        <v>688.2904290429045</v>
      </c>
      <c r="Y55" s="33">
        <v>20.729166666666668</v>
      </c>
      <c r="Z55" s="12"/>
      <c r="AA55" s="9"/>
      <c r="AB55" s="97">
        <v>48</v>
      </c>
      <c r="AC55" s="37">
        <f>33649.26/AB55</f>
        <v>701.02625</v>
      </c>
      <c r="AD55" s="33">
        <f>992/AB55</f>
        <v>20.666666666666668</v>
      </c>
      <c r="AE55" s="12"/>
      <c r="AF55" s="9"/>
      <c r="AG55" s="97">
        <v>68</v>
      </c>
      <c r="AH55" s="147"/>
      <c r="AI55" s="37">
        <v>609.6491176470588</v>
      </c>
      <c r="AJ55" s="33">
        <v>21.738235294117647</v>
      </c>
      <c r="AK55" s="12"/>
      <c r="AL55" s="9"/>
    </row>
    <row r="56" spans="1:38" ht="18" customHeight="1">
      <c r="A56" s="164"/>
      <c r="B56" s="6" t="s">
        <v>18</v>
      </c>
      <c r="C56" s="127">
        <v>23</v>
      </c>
      <c r="D56" s="37">
        <f>34968.47/23</f>
        <v>1520.3682608695653</v>
      </c>
      <c r="E56" s="33">
        <f>1303.5/23</f>
        <v>56.67391304347826</v>
      </c>
      <c r="F56" s="11"/>
      <c r="G56" s="11"/>
      <c r="H56" s="97">
        <v>32</v>
      </c>
      <c r="I56" s="37">
        <f>27979.15/H56</f>
        <v>874.3484375</v>
      </c>
      <c r="J56" s="33">
        <f>999.01/H56</f>
        <v>31.2190625</v>
      </c>
      <c r="K56" s="12"/>
      <c r="L56" s="9"/>
      <c r="M56" s="97">
        <v>27</v>
      </c>
      <c r="N56" s="37">
        <v>823.4926407333202</v>
      </c>
      <c r="O56" s="33">
        <v>29.682222222222222</v>
      </c>
      <c r="P56" s="12"/>
      <c r="Q56" s="9"/>
      <c r="R56" s="97">
        <v>39</v>
      </c>
      <c r="S56" s="37">
        <v>676.9149212725783</v>
      </c>
      <c r="T56" s="33">
        <v>19.141025641025642</v>
      </c>
      <c r="U56" s="12"/>
      <c r="V56" s="9"/>
      <c r="W56" s="97">
        <v>51</v>
      </c>
      <c r="X56" s="37">
        <v>650.4069889341874</v>
      </c>
      <c r="Y56" s="33">
        <v>19.58823529411765</v>
      </c>
      <c r="Z56" s="12"/>
      <c r="AA56" s="9"/>
      <c r="AB56" s="97">
        <v>63</v>
      </c>
      <c r="AC56" s="37">
        <f>33988.47/AB56</f>
        <v>539.4995238095238</v>
      </c>
      <c r="AD56" s="33">
        <f>1002/AB56</f>
        <v>15.904761904761905</v>
      </c>
      <c r="AE56" s="12"/>
      <c r="AF56" s="9"/>
      <c r="AG56" s="97">
        <v>60</v>
      </c>
      <c r="AH56" s="147"/>
      <c r="AI56" s="37">
        <v>509.4843333333334</v>
      </c>
      <c r="AJ56" s="33">
        <v>18.166666666666668</v>
      </c>
      <c r="AK56" s="12"/>
      <c r="AL56" s="9"/>
    </row>
    <row r="57" spans="1:38" s="60" customFormat="1" ht="18" customHeight="1">
      <c r="A57" s="164"/>
      <c r="B57" s="44" t="s">
        <v>19</v>
      </c>
      <c r="C57" s="128">
        <f>SUM(C47:C56)</f>
        <v>97</v>
      </c>
      <c r="D57" s="20">
        <f>138213.39/97</f>
        <v>1424.8803092783508</v>
      </c>
      <c r="E57" s="61">
        <f>5152/97</f>
        <v>53.11340206185567</v>
      </c>
      <c r="F57" s="59"/>
      <c r="G57" s="59"/>
      <c r="H57" s="100">
        <f>SUM(H47:H56)</f>
        <v>135</v>
      </c>
      <c r="I57" s="20">
        <f>128134.56/135</f>
        <v>949.1448888888889</v>
      </c>
      <c r="J57" s="61">
        <f>4575.11/H57</f>
        <v>33.8897037037037</v>
      </c>
      <c r="K57" s="56"/>
      <c r="L57" s="20"/>
      <c r="M57" s="100">
        <f>SUM(M47:M56)</f>
        <v>165</v>
      </c>
      <c r="N57" s="20">
        <f>139015.8/M57</f>
        <v>842.52</v>
      </c>
      <c r="O57" s="61">
        <f>5010.73/M57</f>
        <v>30.368060606060602</v>
      </c>
      <c r="P57" s="56"/>
      <c r="Q57" s="20"/>
      <c r="R57" s="100">
        <f>SUM(R47:R56)</f>
        <v>200</v>
      </c>
      <c r="S57" s="20">
        <v>744</v>
      </c>
      <c r="T57" s="61">
        <v>21.02</v>
      </c>
      <c r="U57" s="56"/>
      <c r="V57" s="20"/>
      <c r="W57" s="100">
        <f>SUM(W47:W56)</f>
        <v>219</v>
      </c>
      <c r="X57" s="20">
        <v>650.8127853881278</v>
      </c>
      <c r="Y57" s="61">
        <v>19.600456621004565</v>
      </c>
      <c r="Z57" s="56"/>
      <c r="AA57" s="20"/>
      <c r="AB57" s="100">
        <f>SUM(AB47:AB56)</f>
        <v>262</v>
      </c>
      <c r="AC57" s="20">
        <f>156408/AB57</f>
        <v>596.9770992366413</v>
      </c>
      <c r="AD57" s="61">
        <f>4611/AB57</f>
        <v>17.599236641221374</v>
      </c>
      <c r="AE57" s="56"/>
      <c r="AF57" s="20"/>
      <c r="AG57" s="100">
        <v>271</v>
      </c>
      <c r="AH57" s="149"/>
      <c r="AI57" s="20">
        <v>577.9963099630996</v>
      </c>
      <c r="AJ57" s="61">
        <v>20.60959409594096</v>
      </c>
      <c r="AK57" s="56"/>
      <c r="AL57" s="20"/>
    </row>
    <row r="58" spans="1:38" ht="18" customHeight="1">
      <c r="A58" s="164" t="s">
        <v>1</v>
      </c>
      <c r="B58" s="6" t="s">
        <v>10</v>
      </c>
      <c r="C58" s="127">
        <v>25</v>
      </c>
      <c r="D58" s="37">
        <f>42702.16/C58</f>
        <v>1708.0864000000001</v>
      </c>
      <c r="E58" s="10"/>
      <c r="F58" s="11"/>
      <c r="G58" s="11"/>
      <c r="H58" s="97">
        <v>27</v>
      </c>
      <c r="I58" s="37">
        <f>36415.32/H58</f>
        <v>1348.7155555555555</v>
      </c>
      <c r="J58" s="33">
        <f>1639/H58</f>
        <v>60.7037037037037</v>
      </c>
      <c r="K58" s="12"/>
      <c r="L58" s="9"/>
      <c r="M58" s="97">
        <v>24</v>
      </c>
      <c r="N58" s="37">
        <f>33135.7918943231/24</f>
        <v>1380.6579955967957</v>
      </c>
      <c r="O58" s="33">
        <v>63.645</v>
      </c>
      <c r="P58" s="12"/>
      <c r="Q58" s="9"/>
      <c r="R58" s="97">
        <v>21</v>
      </c>
      <c r="S58" s="37">
        <v>1560.7344857305975</v>
      </c>
      <c r="T58" s="33">
        <v>72.55142857142856</v>
      </c>
      <c r="U58" s="12"/>
      <c r="V58" s="9"/>
      <c r="W58" s="97"/>
      <c r="X58" s="87"/>
      <c r="Y58" s="87"/>
      <c r="Z58" s="12"/>
      <c r="AA58" s="9"/>
      <c r="AB58" s="97"/>
      <c r="AC58" s="87"/>
      <c r="AD58" s="87"/>
      <c r="AE58" s="12"/>
      <c r="AF58" s="9"/>
      <c r="AG58" s="97"/>
      <c r="AH58" s="147"/>
      <c r="AI58" s="87"/>
      <c r="AJ58" s="87"/>
      <c r="AK58" s="12"/>
      <c r="AL58" s="9"/>
    </row>
    <row r="59" spans="1:38" ht="18" customHeight="1">
      <c r="A59" s="164"/>
      <c r="B59" s="6" t="s">
        <v>11</v>
      </c>
      <c r="C59" s="127">
        <v>171</v>
      </c>
      <c r="D59" s="37">
        <f>266748.87/C59</f>
        <v>1559.9349122807018</v>
      </c>
      <c r="E59" s="10"/>
      <c r="F59" s="11"/>
      <c r="G59" s="11"/>
      <c r="H59" s="97">
        <v>160</v>
      </c>
      <c r="I59" s="37">
        <f>191593/H59</f>
        <v>1197.45625</v>
      </c>
      <c r="J59" s="33">
        <f>9548/H59</f>
        <v>59.675</v>
      </c>
      <c r="K59" s="12"/>
      <c r="L59" s="9"/>
      <c r="M59" s="97">
        <v>148</v>
      </c>
      <c r="N59" s="37">
        <v>1394.2029976853562</v>
      </c>
      <c r="O59" s="33">
        <v>64.2693918918919</v>
      </c>
      <c r="P59" s="12"/>
      <c r="Q59" s="9"/>
      <c r="R59" s="97">
        <v>117</v>
      </c>
      <c r="S59" s="37">
        <v>1463.3770740190314</v>
      </c>
      <c r="T59" s="33">
        <v>68.02572649572649</v>
      </c>
      <c r="U59" s="12"/>
      <c r="V59" s="9"/>
      <c r="W59" s="97">
        <v>100</v>
      </c>
      <c r="X59" s="37">
        <v>1495.4641475543817</v>
      </c>
      <c r="Y59" s="33">
        <v>72.98359999999998</v>
      </c>
      <c r="Z59" s="12"/>
      <c r="AA59" s="9"/>
      <c r="AB59" s="97">
        <v>72</v>
      </c>
      <c r="AC59" s="37">
        <f>118578.99/AB59</f>
        <v>1646.9304166666668</v>
      </c>
      <c r="AD59" s="33">
        <f>5236.75/AB59</f>
        <v>72.73263888888889</v>
      </c>
      <c r="AE59" s="12"/>
      <c r="AF59" s="9"/>
      <c r="AG59" s="97">
        <v>77</v>
      </c>
      <c r="AH59" s="147"/>
      <c r="AI59" s="37">
        <v>1898.7275324675322</v>
      </c>
      <c r="AJ59" s="33">
        <v>88.55831168831169</v>
      </c>
      <c r="AK59" s="12"/>
      <c r="AL59" s="9"/>
    </row>
    <row r="60" spans="1:38" ht="18" customHeight="1">
      <c r="A60" s="164"/>
      <c r="B60" s="6" t="s">
        <v>12</v>
      </c>
      <c r="C60" s="127">
        <v>19</v>
      </c>
      <c r="D60" s="37">
        <f>27053.09/C60</f>
        <v>1423.8468421052632</v>
      </c>
      <c r="E60" s="10"/>
      <c r="F60" s="11"/>
      <c r="G60" s="11"/>
      <c r="H60" s="97">
        <v>14</v>
      </c>
      <c r="I60" s="37">
        <f>17960.87/H60</f>
        <v>1282.9192857142857</v>
      </c>
      <c r="J60" s="33">
        <f>863.26/H60</f>
        <v>61.66142857142857</v>
      </c>
      <c r="K60" s="13"/>
      <c r="L60" s="9"/>
      <c r="M60" s="97">
        <v>16</v>
      </c>
      <c r="N60" s="37">
        <v>1030.815919821164</v>
      </c>
      <c r="O60" s="33">
        <v>47.518125</v>
      </c>
      <c r="P60" s="12"/>
      <c r="Q60" s="9"/>
      <c r="R60" s="97">
        <v>15</v>
      </c>
      <c r="S60" s="37">
        <v>1818.0029597748385</v>
      </c>
      <c r="T60" s="33">
        <v>84.51066666666665</v>
      </c>
      <c r="U60" s="12"/>
      <c r="V60" s="9"/>
      <c r="W60" s="97"/>
      <c r="X60" s="37"/>
      <c r="Y60" s="33"/>
      <c r="Z60" s="12"/>
      <c r="AA60" s="9"/>
      <c r="AB60" s="97"/>
      <c r="AC60" s="37"/>
      <c r="AD60" s="33"/>
      <c r="AE60" s="12"/>
      <c r="AF60" s="9"/>
      <c r="AG60" s="97"/>
      <c r="AH60" s="147"/>
      <c r="AI60" s="37"/>
      <c r="AJ60" s="33"/>
      <c r="AK60" s="12"/>
      <c r="AL60" s="9"/>
    </row>
    <row r="61" spans="1:38" ht="18" customHeight="1">
      <c r="A61" s="164"/>
      <c r="B61" s="6" t="s">
        <v>13</v>
      </c>
      <c r="C61" s="127">
        <v>55</v>
      </c>
      <c r="D61" s="37">
        <f>133037.54/C61</f>
        <v>2418.8643636363636</v>
      </c>
      <c r="E61" s="10"/>
      <c r="F61" s="11"/>
      <c r="G61" s="11"/>
      <c r="H61" s="97">
        <v>50</v>
      </c>
      <c r="I61" s="37">
        <f>89302.38/H61</f>
        <v>1786.0476</v>
      </c>
      <c r="J61" s="33">
        <f>2307.08/H61</f>
        <v>46.1416</v>
      </c>
      <c r="K61" s="12"/>
      <c r="L61" s="9"/>
      <c r="M61" s="97">
        <v>48</v>
      </c>
      <c r="N61" s="37">
        <v>1910.8421270991612</v>
      </c>
      <c r="O61" s="33">
        <v>88.08520833333334</v>
      </c>
      <c r="P61" s="12"/>
      <c r="Q61" s="9"/>
      <c r="R61" s="97">
        <v>46</v>
      </c>
      <c r="S61" s="37">
        <v>1779.070401119204</v>
      </c>
      <c r="T61" s="33">
        <v>82.7008695652174</v>
      </c>
      <c r="U61" s="12"/>
      <c r="V61" s="9"/>
      <c r="W61" s="97"/>
      <c r="X61" s="37"/>
      <c r="Y61" s="33"/>
      <c r="Z61" s="12"/>
      <c r="AA61" s="9"/>
      <c r="AB61" s="97"/>
      <c r="AC61" s="37"/>
      <c r="AD61" s="33"/>
      <c r="AE61" s="12"/>
      <c r="AF61" s="9"/>
      <c r="AG61" s="97"/>
      <c r="AH61" s="147"/>
      <c r="AI61" s="37"/>
      <c r="AJ61" s="33"/>
      <c r="AK61" s="12"/>
      <c r="AL61" s="9"/>
    </row>
    <row r="62" spans="1:38" ht="18" customHeight="1">
      <c r="A62" s="164"/>
      <c r="B62" s="6" t="s">
        <v>14</v>
      </c>
      <c r="C62" s="127">
        <v>29</v>
      </c>
      <c r="D62" s="37">
        <f>88773.55/C62</f>
        <v>3061.1568965517245</v>
      </c>
      <c r="E62" s="10"/>
      <c r="F62" s="11"/>
      <c r="G62" s="11"/>
      <c r="H62" s="97">
        <v>37</v>
      </c>
      <c r="I62" s="37">
        <f>46956.87/H62</f>
        <v>1269.1045945945946</v>
      </c>
      <c r="J62" s="33">
        <f>2307.08/37</f>
        <v>62.35351351351351</v>
      </c>
      <c r="K62" s="12"/>
      <c r="L62" s="9"/>
      <c r="M62" s="97">
        <v>34</v>
      </c>
      <c r="N62" s="37">
        <v>1258.2641920563235</v>
      </c>
      <c r="O62" s="33">
        <v>58.002941176470586</v>
      </c>
      <c r="P62" s="12"/>
      <c r="Q62" s="9"/>
      <c r="R62" s="97">
        <v>29</v>
      </c>
      <c r="S62" s="37">
        <v>1581.6298469213928</v>
      </c>
      <c r="T62" s="33">
        <v>73.52275862068964</v>
      </c>
      <c r="U62" s="12"/>
      <c r="V62" s="9"/>
      <c r="W62" s="97">
        <v>24</v>
      </c>
      <c r="X62" s="37">
        <v>1722.7998219617357</v>
      </c>
      <c r="Y62" s="33">
        <v>84.07833333333333</v>
      </c>
      <c r="Z62" s="12"/>
      <c r="AA62" s="9"/>
      <c r="AB62" s="97">
        <v>34</v>
      </c>
      <c r="AC62" s="37">
        <f>65193.71/AB62</f>
        <v>1917.4620588235293</v>
      </c>
      <c r="AD62" s="33">
        <f>2879.12/AB62</f>
        <v>84.67999999999999</v>
      </c>
      <c r="AE62" s="12"/>
      <c r="AF62" s="9"/>
      <c r="AG62" s="97">
        <v>30</v>
      </c>
      <c r="AH62" s="147"/>
      <c r="AI62" s="37">
        <v>1569.3603333333333</v>
      </c>
      <c r="AJ62" s="33">
        <v>73.19633333333333</v>
      </c>
      <c r="AK62" s="12"/>
      <c r="AL62" s="9"/>
    </row>
    <row r="63" spans="1:38" ht="18" customHeight="1">
      <c r="A63" s="164"/>
      <c r="B63" s="6" t="s">
        <v>15</v>
      </c>
      <c r="C63" s="127">
        <v>32</v>
      </c>
      <c r="D63" s="37">
        <f>76351.25/C63</f>
        <v>2385.9765625</v>
      </c>
      <c r="E63" s="10"/>
      <c r="F63" s="11"/>
      <c r="G63" s="11"/>
      <c r="H63" s="97">
        <v>34</v>
      </c>
      <c r="I63" s="37">
        <f>53510.24/H63</f>
        <v>1573.830588235294</v>
      </c>
      <c r="J63" s="33">
        <f>2660.88/H63</f>
        <v>78.26117647058824</v>
      </c>
      <c r="K63" s="12"/>
      <c r="L63" s="9"/>
      <c r="M63" s="97">
        <v>31</v>
      </c>
      <c r="N63" s="37">
        <v>1378.1772834843011</v>
      </c>
      <c r="O63" s="33">
        <v>63.53064516129032</v>
      </c>
      <c r="P63" s="12"/>
      <c r="Q63" s="9"/>
      <c r="R63" s="97">
        <v>27</v>
      </c>
      <c r="S63" s="37">
        <v>1749.9944083053506</v>
      </c>
      <c r="T63" s="33">
        <v>86.06333333333335</v>
      </c>
      <c r="U63" s="12"/>
      <c r="V63" s="9"/>
      <c r="W63" s="97"/>
      <c r="X63" s="37"/>
      <c r="Y63" s="33"/>
      <c r="Z63" s="12"/>
      <c r="AA63" s="9"/>
      <c r="AB63" s="97"/>
      <c r="AC63" s="37"/>
      <c r="AD63" s="33"/>
      <c r="AE63" s="12"/>
      <c r="AF63" s="9"/>
      <c r="AG63" s="97"/>
      <c r="AH63" s="147"/>
      <c r="AI63" s="37"/>
      <c r="AJ63" s="33"/>
      <c r="AK63" s="12"/>
      <c r="AL63" s="9"/>
    </row>
    <row r="64" spans="1:38" ht="18" customHeight="1">
      <c r="A64" s="164"/>
      <c r="B64" s="6" t="s">
        <v>16</v>
      </c>
      <c r="C64" s="127">
        <v>84</v>
      </c>
      <c r="D64" s="37">
        <f>187602.97/C64</f>
        <v>2233.3686904761903</v>
      </c>
      <c r="E64" s="10"/>
      <c r="F64" s="11"/>
      <c r="G64" s="11"/>
      <c r="H64" s="97">
        <v>68</v>
      </c>
      <c r="I64" s="37">
        <f>99004.86/H64</f>
        <v>1455.9538235294117</v>
      </c>
      <c r="J64" s="33">
        <f>4660/68</f>
        <v>68.52941176470588</v>
      </c>
      <c r="K64" s="12"/>
      <c r="L64" s="9"/>
      <c r="M64" s="97">
        <v>65</v>
      </c>
      <c r="N64" s="37">
        <v>1760.0421242345133</v>
      </c>
      <c r="O64" s="33">
        <v>81.1336923076923</v>
      </c>
      <c r="P64" s="12"/>
      <c r="Q64" s="9"/>
      <c r="R64" s="97">
        <v>61</v>
      </c>
      <c r="S64" s="37">
        <v>1920.308688691531</v>
      </c>
      <c r="T64" s="33">
        <v>89.26639344262296</v>
      </c>
      <c r="U64" s="12"/>
      <c r="V64" s="9"/>
      <c r="W64" s="97">
        <v>62</v>
      </c>
      <c r="X64" s="37">
        <v>1566.6474476949145</v>
      </c>
      <c r="Y64" s="33">
        <v>76.45758064516127</v>
      </c>
      <c r="Z64" s="12"/>
      <c r="AA64" s="9"/>
      <c r="AB64" s="97">
        <v>60</v>
      </c>
      <c r="AC64" s="37">
        <f>101223.56/AB64</f>
        <v>1687.0593333333334</v>
      </c>
      <c r="AD64" s="33">
        <f>4470.29/AB64</f>
        <v>74.50483333333334</v>
      </c>
      <c r="AE64" s="12"/>
      <c r="AF64" s="9"/>
      <c r="AG64" s="97">
        <v>64</v>
      </c>
      <c r="AH64" s="147"/>
      <c r="AI64" s="37">
        <v>2005.93890625</v>
      </c>
      <c r="AJ64" s="33">
        <v>93.55875</v>
      </c>
      <c r="AK64" s="12"/>
      <c r="AL64" s="9"/>
    </row>
    <row r="65" spans="1:38" ht="18" customHeight="1">
      <c r="A65" s="164"/>
      <c r="B65" s="6" t="s">
        <v>17</v>
      </c>
      <c r="C65" s="127">
        <v>12</v>
      </c>
      <c r="D65" s="37">
        <f>20019.16/C65</f>
        <v>1668.2633333333333</v>
      </c>
      <c r="E65" s="10"/>
      <c r="F65" s="11"/>
      <c r="G65" s="11"/>
      <c r="H65" s="97">
        <v>15</v>
      </c>
      <c r="I65" s="37">
        <f>21879.26/H65</f>
        <v>1458.6173333333331</v>
      </c>
      <c r="J65" s="33">
        <f>1026.22/H65</f>
        <v>68.41466666666666</v>
      </c>
      <c r="K65" s="12"/>
      <c r="L65" s="9"/>
      <c r="M65" s="97">
        <v>17</v>
      </c>
      <c r="N65" s="37">
        <v>1177.833796006113</v>
      </c>
      <c r="O65" s="33">
        <v>54.29529411764706</v>
      </c>
      <c r="P65" s="12"/>
      <c r="Q65" s="9"/>
      <c r="R65" s="97">
        <v>11</v>
      </c>
      <c r="S65" s="37">
        <v>2248.230866234657</v>
      </c>
      <c r="T65" s="33">
        <v>104.51</v>
      </c>
      <c r="U65" s="12"/>
      <c r="V65" s="9"/>
      <c r="W65" s="97"/>
      <c r="X65" s="37"/>
      <c r="Y65" s="33"/>
      <c r="Z65" s="12"/>
      <c r="AA65" s="9"/>
      <c r="AB65" s="97"/>
      <c r="AC65" s="37"/>
      <c r="AD65" s="33"/>
      <c r="AE65" s="12"/>
      <c r="AF65" s="9"/>
      <c r="AG65" s="97"/>
      <c r="AH65" s="147"/>
      <c r="AI65" s="37"/>
      <c r="AJ65" s="33"/>
      <c r="AK65" s="12"/>
      <c r="AL65" s="9"/>
    </row>
    <row r="66" spans="1:38" ht="18" customHeight="1">
      <c r="A66" s="164"/>
      <c r="B66" s="6" t="s">
        <v>90</v>
      </c>
      <c r="C66" s="127"/>
      <c r="D66" s="37"/>
      <c r="E66" s="10"/>
      <c r="F66" s="11"/>
      <c r="G66" s="11"/>
      <c r="H66" s="97"/>
      <c r="I66" s="37"/>
      <c r="J66" s="33"/>
      <c r="K66" s="12"/>
      <c r="L66" s="9"/>
      <c r="M66" s="97"/>
      <c r="N66" s="37"/>
      <c r="O66" s="33"/>
      <c r="P66" s="12"/>
      <c r="Q66" s="9"/>
      <c r="R66" s="97"/>
      <c r="S66" s="37"/>
      <c r="T66" s="33"/>
      <c r="U66" s="12"/>
      <c r="V66" s="9"/>
      <c r="W66" s="97">
        <v>118</v>
      </c>
      <c r="X66" s="37">
        <v>1618.2807691913165</v>
      </c>
      <c r="Y66" s="33">
        <v>78.9774576271186</v>
      </c>
      <c r="Z66" s="12"/>
      <c r="AA66" s="9"/>
      <c r="AB66" s="97">
        <v>107</v>
      </c>
      <c r="AC66" s="37">
        <f>234570.49/AB66</f>
        <v>2192.247570093458</v>
      </c>
      <c r="AD66" s="33">
        <f>10359.23/AB66</f>
        <v>96.8152336448598</v>
      </c>
      <c r="AE66" s="12"/>
      <c r="AF66" s="9"/>
      <c r="AG66" s="97">
        <v>106</v>
      </c>
      <c r="AH66" s="147"/>
      <c r="AI66" s="37">
        <v>1619.2068867924527</v>
      </c>
      <c r="AJ66" s="33">
        <v>75.52122641509433</v>
      </c>
      <c r="AK66" s="12"/>
      <c r="AL66" s="9"/>
    </row>
    <row r="67" spans="1:38" ht="18" customHeight="1">
      <c r="A67" s="164"/>
      <c r="B67" s="6" t="s">
        <v>18</v>
      </c>
      <c r="C67" s="127">
        <v>92</v>
      </c>
      <c r="D67" s="37">
        <f>108250.39/C67</f>
        <v>1176.6346739130436</v>
      </c>
      <c r="E67" s="10"/>
      <c r="F67" s="11"/>
      <c r="G67" s="11"/>
      <c r="H67" s="97">
        <v>71</v>
      </c>
      <c r="I67" s="37">
        <f>74937.95/H67</f>
        <v>1055.4640845070421</v>
      </c>
      <c r="J67" s="33">
        <f>3291.28/H67</f>
        <v>46.356056338028175</v>
      </c>
      <c r="K67" s="12"/>
      <c r="L67" s="9"/>
      <c r="M67" s="97">
        <v>64</v>
      </c>
      <c r="N67" s="37">
        <v>1425.3288547667275</v>
      </c>
      <c r="O67" s="33">
        <v>65.70421875</v>
      </c>
      <c r="P67" s="12"/>
      <c r="Q67" s="9"/>
      <c r="R67" s="97">
        <v>62</v>
      </c>
      <c r="S67" s="37">
        <v>1344.1912822929464</v>
      </c>
      <c r="T67" s="33">
        <v>62.485322580645146</v>
      </c>
      <c r="U67" s="12"/>
      <c r="V67" s="9"/>
      <c r="W67" s="97">
        <v>63</v>
      </c>
      <c r="X67" s="37">
        <v>1183.6661427907957</v>
      </c>
      <c r="Y67" s="33">
        <v>57.76682539682539</v>
      </c>
      <c r="Z67" s="12"/>
      <c r="AA67" s="9"/>
      <c r="AB67" s="97">
        <v>58</v>
      </c>
      <c r="AC67" s="37">
        <f>60891.87/AB67</f>
        <v>1049.8598275862068</v>
      </c>
      <c r="AD67" s="33">
        <f>2689.14/AB67</f>
        <v>46.36448275862069</v>
      </c>
      <c r="AE67" s="12"/>
      <c r="AF67" s="9"/>
      <c r="AG67" s="97">
        <v>60</v>
      </c>
      <c r="AH67" s="147"/>
      <c r="AI67" s="37">
        <v>1507.844</v>
      </c>
      <c r="AJ67" s="33">
        <v>70.32716666666667</v>
      </c>
      <c r="AK67" s="12"/>
      <c r="AL67" s="9"/>
    </row>
    <row r="68" spans="1:38" s="60" customFormat="1" ht="18" customHeight="1">
      <c r="A68" s="164"/>
      <c r="B68" s="44" t="s">
        <v>19</v>
      </c>
      <c r="C68" s="55">
        <f>SUM(C58:C67)</f>
        <v>519</v>
      </c>
      <c r="D68" s="20">
        <f>1088824.28/C68</f>
        <v>2097.92732177264</v>
      </c>
      <c r="E68" s="55"/>
      <c r="F68" s="55"/>
      <c r="G68" s="55"/>
      <c r="H68" s="100">
        <f>SUM(H58:H67)</f>
        <v>476</v>
      </c>
      <c r="I68" s="20">
        <f>631560.75/H68</f>
        <v>1326.8082983193278</v>
      </c>
      <c r="J68" s="61">
        <f>30149/H68</f>
        <v>63.338235294117645</v>
      </c>
      <c r="K68" s="56"/>
      <c r="L68" s="20"/>
      <c r="M68" s="100">
        <f>SUM(M58:M67)</f>
        <v>447</v>
      </c>
      <c r="N68" s="20">
        <f>658842.75/M68</f>
        <v>1473.9211409395973</v>
      </c>
      <c r="O68" s="61">
        <f>30371.06/M68</f>
        <v>67.94420581655481</v>
      </c>
      <c r="P68" s="56"/>
      <c r="Q68" s="20"/>
      <c r="R68" s="100">
        <f>SUM(R58:R67)</f>
        <v>389</v>
      </c>
      <c r="S68" s="20">
        <v>1630.237095115681</v>
      </c>
      <c r="T68" s="61">
        <v>75.78228791773779</v>
      </c>
      <c r="U68" s="56"/>
      <c r="V68" s="20"/>
      <c r="W68" s="100">
        <f>SUM(W58:W67)</f>
        <v>367</v>
      </c>
      <c r="X68" s="20">
        <v>1508.3211171662124</v>
      </c>
      <c r="Y68" s="61">
        <v>73.61106267029969</v>
      </c>
      <c r="Z68" s="56"/>
      <c r="AA68" s="20"/>
      <c r="AB68" s="100">
        <f>SUM(AB58:AB67)</f>
        <v>331</v>
      </c>
      <c r="AC68" s="20">
        <f>580458.61/AB68</f>
        <v>1753.6513897280965</v>
      </c>
      <c r="AD68" s="61">
        <f>25634.53/AB68</f>
        <v>77.44570996978851</v>
      </c>
      <c r="AE68" s="56"/>
      <c r="AF68" s="20"/>
      <c r="AG68" s="100">
        <v>337</v>
      </c>
      <c r="AH68" s="149"/>
      <c r="AI68" s="20">
        <v>1732.2536795252224</v>
      </c>
      <c r="AJ68" s="61">
        <v>80.79382789317508</v>
      </c>
      <c r="AK68" s="56"/>
      <c r="AL68" s="20"/>
    </row>
    <row r="69" spans="1:38" ht="18" customHeight="1">
      <c r="A69" s="164" t="s">
        <v>2</v>
      </c>
      <c r="B69" s="6" t="s">
        <v>10</v>
      </c>
      <c r="C69" s="129">
        <v>31</v>
      </c>
      <c r="D69" s="37">
        <v>931</v>
      </c>
      <c r="E69" s="33">
        <v>162</v>
      </c>
      <c r="F69" s="130"/>
      <c r="G69" s="131"/>
      <c r="H69" s="97">
        <v>24</v>
      </c>
      <c r="I69" s="37">
        <f>29701.56/H69</f>
        <v>1237.565</v>
      </c>
      <c r="J69" s="33">
        <f>4341/24</f>
        <v>180.875</v>
      </c>
      <c r="K69" s="12"/>
      <c r="L69" s="9"/>
      <c r="M69" s="97">
        <v>24</v>
      </c>
      <c r="N69" s="37">
        <v>1222.3775</v>
      </c>
      <c r="O69" s="33">
        <v>217.95833333333334</v>
      </c>
      <c r="P69" s="12"/>
      <c r="Q69" s="9"/>
      <c r="R69" s="97">
        <v>31</v>
      </c>
      <c r="S69" s="37">
        <v>685.2796774193548</v>
      </c>
      <c r="T69" s="33">
        <v>116.90322580645162</v>
      </c>
      <c r="U69" s="12"/>
      <c r="V69" s="9"/>
      <c r="W69" s="97"/>
      <c r="X69" s="37"/>
      <c r="Y69" s="33"/>
      <c r="Z69" s="12"/>
      <c r="AA69" s="9"/>
      <c r="AB69" s="97"/>
      <c r="AC69" s="37"/>
      <c r="AD69" s="33"/>
      <c r="AE69" s="12"/>
      <c r="AF69" s="9"/>
      <c r="AG69" s="97"/>
      <c r="AH69" s="147"/>
      <c r="AI69" s="37"/>
      <c r="AJ69" s="33"/>
      <c r="AK69" s="12"/>
      <c r="AL69" s="9"/>
    </row>
    <row r="70" spans="1:38" ht="18" customHeight="1">
      <c r="A70" s="164"/>
      <c r="B70" s="6" t="s">
        <v>11</v>
      </c>
      <c r="C70" s="129">
        <v>44</v>
      </c>
      <c r="D70" s="37">
        <v>714</v>
      </c>
      <c r="E70" s="33">
        <v>145.4090909090909</v>
      </c>
      <c r="F70" s="130"/>
      <c r="G70" s="131"/>
      <c r="H70" s="97">
        <v>51</v>
      </c>
      <c r="I70" s="37">
        <f>35141.83/H70</f>
        <v>689.0554901960785</v>
      </c>
      <c r="J70" s="33">
        <f>7314/H70</f>
        <v>143.41176470588235</v>
      </c>
      <c r="K70" s="12"/>
      <c r="L70" s="9"/>
      <c r="M70" s="97">
        <v>59</v>
      </c>
      <c r="N70" s="37">
        <v>751.2181355932204</v>
      </c>
      <c r="O70" s="33">
        <v>150.5084745762712</v>
      </c>
      <c r="P70" s="12"/>
      <c r="Q70" s="9"/>
      <c r="R70" s="97">
        <v>84</v>
      </c>
      <c r="S70" s="37">
        <v>578.1272619047619</v>
      </c>
      <c r="T70" s="33">
        <v>111.98809523809524</v>
      </c>
      <c r="U70" s="12"/>
      <c r="V70" s="9"/>
      <c r="W70" s="97">
        <v>71</v>
      </c>
      <c r="X70" s="37">
        <v>704.9014084507043</v>
      </c>
      <c r="Y70" s="33">
        <v>142.29577464788733</v>
      </c>
      <c r="Z70" s="12"/>
      <c r="AA70" s="9"/>
      <c r="AB70" s="97">
        <v>62</v>
      </c>
      <c r="AC70" s="37">
        <f>54949.95/AB70</f>
        <v>886.2895161290322</v>
      </c>
      <c r="AD70" s="33">
        <f>10204/AB70</f>
        <v>164.58064516129033</v>
      </c>
      <c r="AE70" s="12"/>
      <c r="AF70" s="9"/>
      <c r="AG70" s="97">
        <v>60</v>
      </c>
      <c r="AH70" s="147"/>
      <c r="AI70" s="37">
        <v>1183.2056666666665</v>
      </c>
      <c r="AJ70" s="33">
        <v>173.16666666666666</v>
      </c>
      <c r="AK70" s="12"/>
      <c r="AL70" s="9"/>
    </row>
    <row r="71" spans="1:38" ht="18" customHeight="1">
      <c r="A71" s="164"/>
      <c r="B71" s="6" t="s">
        <v>12</v>
      </c>
      <c r="C71" s="129">
        <v>11</v>
      </c>
      <c r="D71" s="37">
        <v>585</v>
      </c>
      <c r="E71" s="33">
        <v>129.72727272727272</v>
      </c>
      <c r="F71" s="130"/>
      <c r="G71" s="131"/>
      <c r="H71" s="97">
        <v>8</v>
      </c>
      <c r="I71" s="37">
        <f>6235.81/H71</f>
        <v>779.47625</v>
      </c>
      <c r="J71" s="33">
        <f>1281/H71</f>
        <v>160.125</v>
      </c>
      <c r="K71" s="13"/>
      <c r="L71" s="9"/>
      <c r="M71" s="97">
        <v>6</v>
      </c>
      <c r="N71" s="37">
        <v>585.54</v>
      </c>
      <c r="O71" s="33">
        <v>165.83333333333334</v>
      </c>
      <c r="P71" s="12"/>
      <c r="Q71" s="9"/>
      <c r="R71" s="97">
        <v>8</v>
      </c>
      <c r="S71" s="37">
        <v>520.9875</v>
      </c>
      <c r="T71" s="33">
        <v>123.75</v>
      </c>
      <c r="U71" s="12"/>
      <c r="V71" s="9"/>
      <c r="W71" s="97"/>
      <c r="X71" s="37"/>
      <c r="Y71" s="33"/>
      <c r="Z71" s="12"/>
      <c r="AA71" s="9"/>
      <c r="AB71" s="97"/>
      <c r="AC71" s="37"/>
      <c r="AD71" s="33"/>
      <c r="AE71" s="12"/>
      <c r="AF71" s="9"/>
      <c r="AG71" s="97"/>
      <c r="AH71" s="147"/>
      <c r="AI71" s="37"/>
      <c r="AJ71" s="33"/>
      <c r="AK71" s="12"/>
      <c r="AL71" s="9"/>
    </row>
    <row r="72" spans="1:38" ht="18" customHeight="1">
      <c r="A72" s="164"/>
      <c r="B72" s="6" t="s">
        <v>13</v>
      </c>
      <c r="C72" s="129">
        <v>18</v>
      </c>
      <c r="D72" s="37">
        <v>788</v>
      </c>
      <c r="E72" s="33">
        <v>161.72222222222223</v>
      </c>
      <c r="F72" s="130"/>
      <c r="G72" s="131"/>
      <c r="H72" s="97">
        <v>19</v>
      </c>
      <c r="I72" s="37">
        <f>16434.72/19</f>
        <v>864.9852631578948</v>
      </c>
      <c r="J72" s="33">
        <f>3234/19</f>
        <v>170.21052631578948</v>
      </c>
      <c r="K72" s="12"/>
      <c r="L72" s="9"/>
      <c r="M72" s="97">
        <v>27</v>
      </c>
      <c r="N72" s="37">
        <f>29856.43/M72</f>
        <v>1105.7937037037036</v>
      </c>
      <c r="O72" s="33">
        <f>5885/M72</f>
        <v>217.96296296296296</v>
      </c>
      <c r="P72" s="12"/>
      <c r="Q72" s="9"/>
      <c r="R72" s="97">
        <v>23</v>
      </c>
      <c r="S72" s="37">
        <v>1186.8139130434784</v>
      </c>
      <c r="T72" s="33">
        <v>215.7826086956522</v>
      </c>
      <c r="U72" s="12"/>
      <c r="V72" s="9"/>
      <c r="W72" s="97"/>
      <c r="X72" s="37"/>
      <c r="Y72" s="33"/>
      <c r="Z72" s="12"/>
      <c r="AA72" s="9"/>
      <c r="AB72" s="97"/>
      <c r="AC72" s="37"/>
      <c r="AD72" s="33"/>
      <c r="AE72" s="12"/>
      <c r="AF72" s="9"/>
      <c r="AG72" s="97"/>
      <c r="AH72" s="147"/>
      <c r="AI72" s="37"/>
      <c r="AJ72" s="33"/>
      <c r="AK72" s="12"/>
      <c r="AL72" s="9"/>
    </row>
    <row r="73" spans="1:38" ht="18" customHeight="1">
      <c r="A73" s="164"/>
      <c r="B73" s="6" t="s">
        <v>14</v>
      </c>
      <c r="C73" s="129">
        <v>11</v>
      </c>
      <c r="D73" s="37">
        <v>1217</v>
      </c>
      <c r="E73" s="33">
        <v>269.8181818181818</v>
      </c>
      <c r="F73" s="130"/>
      <c r="G73" s="131"/>
      <c r="H73" s="97">
        <v>14</v>
      </c>
      <c r="I73" s="37">
        <f>9108.94/14</f>
        <v>650.6385714285715</v>
      </c>
      <c r="J73" s="33">
        <f>2107/14</f>
        <v>150.5</v>
      </c>
      <c r="K73" s="12"/>
      <c r="L73" s="9"/>
      <c r="M73" s="97">
        <v>15</v>
      </c>
      <c r="N73" s="37">
        <v>666.168</v>
      </c>
      <c r="O73" s="33">
        <v>148.73333333333332</v>
      </c>
      <c r="P73" s="12"/>
      <c r="Q73" s="9"/>
      <c r="R73" s="97">
        <v>11</v>
      </c>
      <c r="S73" s="37">
        <v>975.6072727272727</v>
      </c>
      <c r="T73" s="33">
        <v>183.0909090909091</v>
      </c>
      <c r="U73" s="12"/>
      <c r="V73" s="9"/>
      <c r="W73" s="97">
        <v>12</v>
      </c>
      <c r="X73" s="37">
        <v>823.415</v>
      </c>
      <c r="Y73" s="33">
        <v>127.91666666666667</v>
      </c>
      <c r="Z73" s="12"/>
      <c r="AA73" s="9"/>
      <c r="AB73" s="97">
        <v>10</v>
      </c>
      <c r="AC73" s="37">
        <f>9036.2/AB73</f>
        <v>903.6200000000001</v>
      </c>
      <c r="AD73" s="33">
        <f>1412/AB73</f>
        <v>141.2</v>
      </c>
      <c r="AE73" s="12"/>
      <c r="AF73" s="9"/>
      <c r="AG73" s="97">
        <v>11</v>
      </c>
      <c r="AH73" s="147"/>
      <c r="AI73" s="37">
        <v>933.63</v>
      </c>
      <c r="AJ73" s="33">
        <v>109.72727272727273</v>
      </c>
      <c r="AK73" s="12"/>
      <c r="AL73" s="9"/>
    </row>
    <row r="74" spans="1:38" ht="18" customHeight="1">
      <c r="A74" s="164"/>
      <c r="B74" s="6" t="s">
        <v>15</v>
      </c>
      <c r="C74" s="129">
        <v>8</v>
      </c>
      <c r="D74" s="37">
        <v>259</v>
      </c>
      <c r="E74" s="33">
        <v>89.125</v>
      </c>
      <c r="F74" s="130"/>
      <c r="G74" s="131"/>
      <c r="H74" s="97">
        <v>8</v>
      </c>
      <c r="I74" s="37">
        <f>1877.28/8</f>
        <v>234.66</v>
      </c>
      <c r="J74" s="33">
        <f>720/8</f>
        <v>90</v>
      </c>
      <c r="K74" s="12"/>
      <c r="L74" s="9"/>
      <c r="M74" s="97">
        <v>5</v>
      </c>
      <c r="N74" s="37">
        <v>520.424</v>
      </c>
      <c r="O74" s="33">
        <v>165.4</v>
      </c>
      <c r="P74" s="12"/>
      <c r="Q74" s="9"/>
      <c r="R74" s="97">
        <v>6</v>
      </c>
      <c r="S74" s="37">
        <v>496.0466666666667</v>
      </c>
      <c r="T74" s="33">
        <v>151.66666666666666</v>
      </c>
      <c r="U74" s="12"/>
      <c r="V74" s="9"/>
      <c r="W74" s="97"/>
      <c r="X74" s="37"/>
      <c r="Y74" s="33"/>
      <c r="Z74" s="12"/>
      <c r="AA74" s="9"/>
      <c r="AB74" s="97"/>
      <c r="AC74" s="37"/>
      <c r="AD74" s="33"/>
      <c r="AE74" s="12"/>
      <c r="AF74" s="9"/>
      <c r="AG74" s="97"/>
      <c r="AH74" s="147"/>
      <c r="AI74" s="37"/>
      <c r="AJ74" s="33"/>
      <c r="AK74" s="12"/>
      <c r="AL74" s="9"/>
    </row>
    <row r="75" spans="1:38" ht="18" customHeight="1">
      <c r="A75" s="164"/>
      <c r="B75" s="6" t="s">
        <v>16</v>
      </c>
      <c r="C75" s="129">
        <v>30</v>
      </c>
      <c r="D75" s="37">
        <v>816</v>
      </c>
      <c r="E75" s="33">
        <v>199.53333333333333</v>
      </c>
      <c r="F75" s="130"/>
      <c r="G75" s="132"/>
      <c r="H75" s="97">
        <v>23</v>
      </c>
      <c r="I75" s="37">
        <f>21743.9/23</f>
        <v>945.3869565217392</v>
      </c>
      <c r="J75" s="33">
        <f>3941/H75</f>
        <v>171.34782608695653</v>
      </c>
      <c r="K75" s="12"/>
      <c r="L75" s="9"/>
      <c r="M75" s="97">
        <v>27</v>
      </c>
      <c r="N75" s="37">
        <v>817.52</v>
      </c>
      <c r="O75" s="33">
        <v>145</v>
      </c>
      <c r="P75" s="12"/>
      <c r="Q75" s="9"/>
      <c r="R75" s="97">
        <v>26</v>
      </c>
      <c r="S75" s="37">
        <v>861.1838461538462</v>
      </c>
      <c r="T75" s="33">
        <v>156</v>
      </c>
      <c r="U75" s="12"/>
      <c r="V75" s="9"/>
      <c r="W75" s="97">
        <v>20</v>
      </c>
      <c r="X75" s="37">
        <v>1027.4805000000001</v>
      </c>
      <c r="Y75" s="33">
        <v>180.95</v>
      </c>
      <c r="Z75" s="12"/>
      <c r="AA75" s="9"/>
      <c r="AB75" s="97">
        <v>19</v>
      </c>
      <c r="AC75" s="37">
        <f>18353.87/AB75</f>
        <v>965.9931578947368</v>
      </c>
      <c r="AD75" s="33">
        <f>3046/AB75</f>
        <v>160.31578947368422</v>
      </c>
      <c r="AE75" s="12"/>
      <c r="AF75" s="9"/>
      <c r="AG75" s="97">
        <v>19</v>
      </c>
      <c r="AH75" s="147"/>
      <c r="AI75" s="37">
        <v>1853.73</v>
      </c>
      <c r="AJ75" s="33">
        <v>167.42105263157896</v>
      </c>
      <c r="AK75" s="12"/>
      <c r="AL75" s="9"/>
    </row>
    <row r="76" spans="1:38" ht="18" customHeight="1">
      <c r="A76" s="164"/>
      <c r="B76" s="6" t="s">
        <v>17</v>
      </c>
      <c r="C76" s="129">
        <v>8</v>
      </c>
      <c r="D76" s="37">
        <v>349</v>
      </c>
      <c r="E76" s="33">
        <v>101.375</v>
      </c>
      <c r="F76" s="130"/>
      <c r="G76" s="131"/>
      <c r="H76" s="97">
        <v>8</v>
      </c>
      <c r="I76" s="37">
        <f>2204/8</f>
        <v>275.5</v>
      </c>
      <c r="J76" s="33">
        <f>631/H76</f>
        <v>78.875</v>
      </c>
      <c r="K76" s="12"/>
      <c r="L76" s="9"/>
      <c r="M76" s="97">
        <v>3</v>
      </c>
      <c r="N76" s="37">
        <v>590.7766666666666</v>
      </c>
      <c r="O76" s="33">
        <v>156</v>
      </c>
      <c r="P76" s="12"/>
      <c r="Q76" s="9"/>
      <c r="R76" s="97">
        <v>3</v>
      </c>
      <c r="S76" s="37">
        <v>613.5666666666667</v>
      </c>
      <c r="T76" s="33">
        <v>151.33333333333334</v>
      </c>
      <c r="U76" s="12"/>
      <c r="V76" s="9"/>
      <c r="W76" s="97"/>
      <c r="X76" s="37"/>
      <c r="Y76" s="33"/>
      <c r="Z76" s="12"/>
      <c r="AA76" s="9"/>
      <c r="AB76" s="97"/>
      <c r="AC76" s="37"/>
      <c r="AD76" s="33"/>
      <c r="AE76" s="12"/>
      <c r="AF76" s="9"/>
      <c r="AG76" s="97"/>
      <c r="AH76" s="147"/>
      <c r="AI76" s="37"/>
      <c r="AJ76" s="33"/>
      <c r="AK76" s="12"/>
      <c r="AL76" s="9"/>
    </row>
    <row r="77" spans="1:38" ht="18" customHeight="1">
      <c r="A77" s="164"/>
      <c r="B77" s="6" t="s">
        <v>90</v>
      </c>
      <c r="C77" s="129"/>
      <c r="D77" s="37"/>
      <c r="E77" s="33"/>
      <c r="F77" s="130"/>
      <c r="G77" s="131"/>
      <c r="H77" s="97"/>
      <c r="I77" s="37"/>
      <c r="J77" s="33"/>
      <c r="K77" s="12"/>
      <c r="L77" s="9"/>
      <c r="M77" s="97"/>
      <c r="N77" s="37"/>
      <c r="O77" s="33"/>
      <c r="P77" s="12"/>
      <c r="Q77" s="9"/>
      <c r="R77" s="97"/>
      <c r="S77" s="37"/>
      <c r="T77" s="33"/>
      <c r="U77" s="12"/>
      <c r="V77" s="9"/>
      <c r="W77" s="97">
        <v>68</v>
      </c>
      <c r="X77" s="37">
        <v>1001.9775</v>
      </c>
      <c r="Y77" s="33">
        <v>187.85294117647058</v>
      </c>
      <c r="Z77" s="12"/>
      <c r="AA77" s="9"/>
      <c r="AB77" s="97">
        <v>78</v>
      </c>
      <c r="AC77" s="37">
        <f>65026.43/AB77</f>
        <v>833.6721794871795</v>
      </c>
      <c r="AD77" s="33">
        <f>11135/AB77</f>
        <v>142.75641025641025</v>
      </c>
      <c r="AE77" s="12"/>
      <c r="AF77" s="9"/>
      <c r="AG77" s="97">
        <v>54</v>
      </c>
      <c r="AH77" s="147"/>
      <c r="AI77" s="37">
        <v>1056.9859259259258</v>
      </c>
      <c r="AJ77" s="33">
        <v>177.2037037037037</v>
      </c>
      <c r="AK77" s="12"/>
      <c r="AL77" s="9"/>
    </row>
    <row r="78" spans="1:38" ht="18" customHeight="1">
      <c r="A78" s="164"/>
      <c r="B78" s="6" t="s">
        <v>18</v>
      </c>
      <c r="C78" s="129">
        <v>34</v>
      </c>
      <c r="D78" s="37">
        <v>862</v>
      </c>
      <c r="E78" s="33">
        <v>175.64705882352942</v>
      </c>
      <c r="F78" s="130"/>
      <c r="G78" s="131"/>
      <c r="H78" s="97">
        <v>24</v>
      </c>
      <c r="I78" s="37">
        <f>25647.09/24</f>
        <v>1068.62875</v>
      </c>
      <c r="J78" s="33">
        <f>5000/H78</f>
        <v>208.33333333333334</v>
      </c>
      <c r="K78" s="12"/>
      <c r="L78" s="9"/>
      <c r="M78" s="97">
        <v>27</v>
      </c>
      <c r="N78" s="37">
        <v>954.3577777777778</v>
      </c>
      <c r="O78" s="33">
        <v>195.8148148148148</v>
      </c>
      <c r="P78" s="12"/>
      <c r="Q78" s="9"/>
      <c r="R78" s="97">
        <v>29</v>
      </c>
      <c r="S78" s="37">
        <v>1017.6441379310345</v>
      </c>
      <c r="T78" s="33">
        <v>214.6551724137931</v>
      </c>
      <c r="U78" s="12"/>
      <c r="V78" s="9"/>
      <c r="W78" s="97">
        <v>27</v>
      </c>
      <c r="X78" s="37">
        <v>1007.8603703703702</v>
      </c>
      <c r="Y78" s="33">
        <v>201.2962962962963</v>
      </c>
      <c r="Z78" s="12"/>
      <c r="AA78" s="9"/>
      <c r="AB78" s="97">
        <v>22</v>
      </c>
      <c r="AC78" s="37">
        <f>26741.76/AB78</f>
        <v>1215.5345454545454</v>
      </c>
      <c r="AD78" s="33">
        <f>5344/AB78</f>
        <v>242.9090909090909</v>
      </c>
      <c r="AE78" s="12"/>
      <c r="AF78" s="9"/>
      <c r="AG78" s="97">
        <v>26</v>
      </c>
      <c r="AH78" s="147"/>
      <c r="AI78" s="37">
        <v>1813.9234615384617</v>
      </c>
      <c r="AJ78" s="33">
        <v>216.8846153846154</v>
      </c>
      <c r="AK78" s="12"/>
      <c r="AL78" s="9"/>
    </row>
    <row r="79" spans="1:38" s="60" customFormat="1" ht="18" customHeight="1">
      <c r="A79" s="164"/>
      <c r="B79" s="44" t="s">
        <v>19</v>
      </c>
      <c r="C79" s="55">
        <f>SUM(C69:C78)</f>
        <v>195</v>
      </c>
      <c r="D79" s="20">
        <f>152964/C79</f>
        <v>784.4307692307692</v>
      </c>
      <c r="E79" s="61">
        <f>32208/C79</f>
        <v>165.16923076923078</v>
      </c>
      <c r="F79" s="55"/>
      <c r="G79" s="55"/>
      <c r="H79" s="100">
        <f>SUM(H69:H78)</f>
        <v>179</v>
      </c>
      <c r="I79" s="20">
        <f>148095.13/H79</f>
        <v>827.3470949720671</v>
      </c>
      <c r="J79" s="61">
        <f>28569/H79</f>
        <v>159.60335195530726</v>
      </c>
      <c r="K79" s="56"/>
      <c r="L79" s="20"/>
      <c r="M79" s="100">
        <f>SUM(M69:M78)</f>
        <v>193</v>
      </c>
      <c r="N79" s="20">
        <f>169236.27/M79</f>
        <v>876.8718652849741</v>
      </c>
      <c r="O79" s="61">
        <f>33719/M79</f>
        <v>174.7098445595855</v>
      </c>
      <c r="P79" s="56"/>
      <c r="Q79" s="20"/>
      <c r="R79" s="100">
        <f>SUM(R69:R78)</f>
        <v>221</v>
      </c>
      <c r="S79" s="20">
        <v>763.4484162895928</v>
      </c>
      <c r="T79" s="61">
        <v>147.7058823529412</v>
      </c>
      <c r="U79" s="56"/>
      <c r="V79" s="20"/>
      <c r="W79" s="100">
        <f>SUM(W69:W78)</f>
        <v>198</v>
      </c>
      <c r="X79" s="20">
        <v>888.006515151515</v>
      </c>
      <c r="Y79" s="61">
        <v>169.02020202020202</v>
      </c>
      <c r="Z79" s="56"/>
      <c r="AA79" s="20"/>
      <c r="AB79" s="100">
        <f>SUM(AB69:AB78)</f>
        <v>191</v>
      </c>
      <c r="AC79" s="20">
        <f>174108.21/AB79</f>
        <v>911.5613089005235</v>
      </c>
      <c r="AD79" s="61">
        <f>31141/AB79</f>
        <v>163.04188481675394</v>
      </c>
      <c r="AE79" s="56"/>
      <c r="AF79" s="20"/>
      <c r="AG79" s="100">
        <v>170</v>
      </c>
      <c r="AH79" s="149"/>
      <c r="AI79" s="20">
        <v>1298.37</v>
      </c>
      <c r="AJ79" s="61">
        <v>176.38823529411764</v>
      </c>
      <c r="AK79" s="56"/>
      <c r="AL79" s="20"/>
    </row>
    <row r="80" spans="1:38" ht="18" customHeight="1">
      <c r="A80" s="164" t="s">
        <v>3</v>
      </c>
      <c r="B80" s="6" t="s">
        <v>10</v>
      </c>
      <c r="C80" s="101">
        <v>0</v>
      </c>
      <c r="D80" s="9"/>
      <c r="E80" s="10"/>
      <c r="F80" s="11"/>
      <c r="G80" s="11"/>
      <c r="H80" s="101">
        <v>0</v>
      </c>
      <c r="I80" s="9"/>
      <c r="J80" s="33"/>
      <c r="K80" s="12"/>
      <c r="L80" s="9"/>
      <c r="M80" s="101">
        <v>1</v>
      </c>
      <c r="N80" s="9"/>
      <c r="O80" s="33"/>
      <c r="P80" s="12"/>
      <c r="Q80" s="9"/>
      <c r="R80" s="101">
        <v>0</v>
      </c>
      <c r="S80" s="19">
        <v>0</v>
      </c>
      <c r="T80" s="33">
        <v>0</v>
      </c>
      <c r="U80" s="12"/>
      <c r="V80" s="9"/>
      <c r="W80" s="101"/>
      <c r="X80" s="19"/>
      <c r="Y80" s="33"/>
      <c r="Z80" s="12"/>
      <c r="AA80" s="9"/>
      <c r="AB80" s="101"/>
      <c r="AC80" s="19"/>
      <c r="AD80" s="33"/>
      <c r="AE80" s="12"/>
      <c r="AF80" s="9"/>
      <c r="AG80" s="101"/>
      <c r="AH80" s="150"/>
      <c r="AI80" s="19"/>
      <c r="AJ80" s="33"/>
      <c r="AK80" s="12"/>
      <c r="AL80" s="9"/>
    </row>
    <row r="81" spans="1:38" ht="18" customHeight="1">
      <c r="A81" s="164"/>
      <c r="B81" s="6" t="s">
        <v>11</v>
      </c>
      <c r="C81" s="101">
        <v>118</v>
      </c>
      <c r="D81" s="9"/>
      <c r="E81" s="10"/>
      <c r="F81" s="11"/>
      <c r="G81" s="11"/>
      <c r="H81" s="101">
        <v>99</v>
      </c>
      <c r="I81" s="9"/>
      <c r="J81" s="33"/>
      <c r="K81" s="12"/>
      <c r="L81" s="9"/>
      <c r="M81" s="101">
        <v>146</v>
      </c>
      <c r="N81" s="9"/>
      <c r="O81" s="33"/>
      <c r="P81" s="12"/>
      <c r="Q81" s="9"/>
      <c r="R81" s="101">
        <v>121</v>
      </c>
      <c r="S81" s="19">
        <v>1056.9822170089337</v>
      </c>
      <c r="T81" s="33">
        <v>25.760330578512395</v>
      </c>
      <c r="U81" s="12"/>
      <c r="V81" s="9"/>
      <c r="W81" s="101">
        <v>83</v>
      </c>
      <c r="X81" s="19">
        <v>295.25885782512285</v>
      </c>
      <c r="Y81" s="33">
        <v>9.674698795180722</v>
      </c>
      <c r="Z81" s="12"/>
      <c r="AA81" s="9"/>
      <c r="AB81" s="101">
        <v>64</v>
      </c>
      <c r="AC81" s="19">
        <f>30544.23/AB81</f>
        <v>477.25359375</v>
      </c>
      <c r="AD81" s="33">
        <f>(12928/10)/AB81</f>
        <v>20.2</v>
      </c>
      <c r="AE81" s="12"/>
      <c r="AF81" s="9"/>
      <c r="AG81" s="101">
        <v>62</v>
      </c>
      <c r="AH81" s="150"/>
      <c r="AI81" s="19">
        <v>560.0617741935484</v>
      </c>
      <c r="AJ81" s="33">
        <v>19.229032258064514</v>
      </c>
      <c r="AK81" s="12"/>
      <c r="AL81" s="9"/>
    </row>
    <row r="82" spans="1:38" ht="18" customHeight="1">
      <c r="A82" s="164"/>
      <c r="B82" s="6" t="s">
        <v>12</v>
      </c>
      <c r="C82" s="101">
        <v>18</v>
      </c>
      <c r="D82" s="9"/>
      <c r="E82" s="10"/>
      <c r="F82" s="11"/>
      <c r="G82" s="11"/>
      <c r="H82" s="101">
        <v>18</v>
      </c>
      <c r="I82" s="9"/>
      <c r="J82" s="33"/>
      <c r="K82" s="13"/>
      <c r="L82" s="9"/>
      <c r="M82" s="101">
        <v>17</v>
      </c>
      <c r="N82" s="9"/>
      <c r="O82" s="33"/>
      <c r="P82" s="13"/>
      <c r="Q82" s="9"/>
      <c r="R82" s="101">
        <v>15</v>
      </c>
      <c r="S82" s="19">
        <v>639.9073504261312</v>
      </c>
      <c r="T82" s="33">
        <v>15.595555555555553</v>
      </c>
      <c r="U82" s="13"/>
      <c r="V82" s="9"/>
      <c r="W82" s="101"/>
      <c r="X82" s="19"/>
      <c r="Y82" s="33"/>
      <c r="Z82" s="13"/>
      <c r="AA82" s="9"/>
      <c r="AB82" s="101"/>
      <c r="AC82" s="19"/>
      <c r="AD82" s="33"/>
      <c r="AE82" s="13"/>
      <c r="AF82" s="9"/>
      <c r="AG82" s="101"/>
      <c r="AH82" s="150"/>
      <c r="AI82" s="19"/>
      <c r="AJ82" s="33"/>
      <c r="AK82" s="13"/>
      <c r="AL82" s="9"/>
    </row>
    <row r="83" spans="1:38" ht="18" customHeight="1">
      <c r="A83" s="164"/>
      <c r="B83" s="6" t="s">
        <v>13</v>
      </c>
      <c r="C83" s="101">
        <v>44</v>
      </c>
      <c r="D83" s="9"/>
      <c r="E83" s="10"/>
      <c r="F83" s="11"/>
      <c r="G83" s="11"/>
      <c r="H83" s="101">
        <v>40</v>
      </c>
      <c r="I83" s="9"/>
      <c r="J83" s="33"/>
      <c r="K83" s="12"/>
      <c r="L83" s="9"/>
      <c r="M83" s="101">
        <v>47</v>
      </c>
      <c r="N83" s="9"/>
      <c r="O83" s="33"/>
      <c r="P83" s="12"/>
      <c r="Q83" s="9"/>
      <c r="R83" s="101">
        <v>58</v>
      </c>
      <c r="S83" s="19">
        <v>281.93754047577744</v>
      </c>
      <c r="T83" s="33">
        <v>6.871264367816091</v>
      </c>
      <c r="U83" s="12"/>
      <c r="V83" s="9"/>
      <c r="W83" s="101"/>
      <c r="X83" s="19"/>
      <c r="Y83" s="33"/>
      <c r="Z83" s="12"/>
      <c r="AA83" s="9"/>
      <c r="AB83" s="101"/>
      <c r="AC83" s="19"/>
      <c r="AD83" s="33"/>
      <c r="AE83" s="12"/>
      <c r="AF83" s="9"/>
      <c r="AG83" s="101"/>
      <c r="AH83" s="150"/>
      <c r="AI83" s="19"/>
      <c r="AJ83" s="33"/>
      <c r="AK83" s="12"/>
      <c r="AL83" s="9"/>
    </row>
    <row r="84" spans="1:38" ht="18" customHeight="1">
      <c r="A84" s="164"/>
      <c r="B84" s="6" t="s">
        <v>14</v>
      </c>
      <c r="C84" s="101">
        <v>0</v>
      </c>
      <c r="D84" s="9"/>
      <c r="E84" s="10"/>
      <c r="F84" s="11"/>
      <c r="G84" s="11"/>
      <c r="H84" s="101">
        <v>0</v>
      </c>
      <c r="I84" s="9"/>
      <c r="J84" s="33"/>
      <c r="K84" s="12"/>
      <c r="L84" s="9"/>
      <c r="M84" s="101">
        <v>0</v>
      </c>
      <c r="N84" s="9"/>
      <c r="O84" s="33"/>
      <c r="P84" s="12"/>
      <c r="Q84" s="9"/>
      <c r="R84" s="101">
        <v>0</v>
      </c>
      <c r="S84" s="19">
        <v>0</v>
      </c>
      <c r="T84" s="33">
        <v>0</v>
      </c>
      <c r="U84" s="12"/>
      <c r="V84" s="9"/>
      <c r="W84" s="101"/>
      <c r="X84" s="19"/>
      <c r="Y84" s="33"/>
      <c r="Z84" s="12"/>
      <c r="AA84" s="9"/>
      <c r="AB84" s="101"/>
      <c r="AC84" s="19"/>
      <c r="AD84" s="33"/>
      <c r="AE84" s="12"/>
      <c r="AF84" s="9"/>
      <c r="AG84" s="101"/>
      <c r="AH84" s="150"/>
      <c r="AI84" s="19"/>
      <c r="AJ84" s="33"/>
      <c r="AK84" s="12"/>
      <c r="AL84" s="9"/>
    </row>
    <row r="85" spans="1:38" ht="18" customHeight="1">
      <c r="A85" s="164"/>
      <c r="B85" s="6" t="s">
        <v>15</v>
      </c>
      <c r="C85" s="101">
        <v>37</v>
      </c>
      <c r="D85" s="9"/>
      <c r="E85" s="10"/>
      <c r="F85" s="11"/>
      <c r="G85" s="11"/>
      <c r="H85" s="101">
        <v>29</v>
      </c>
      <c r="I85" s="9"/>
      <c r="J85" s="33"/>
      <c r="K85" s="12"/>
      <c r="L85" s="9"/>
      <c r="M85" s="101">
        <v>15</v>
      </c>
      <c r="N85" s="9"/>
      <c r="O85" s="33"/>
      <c r="P85" s="12"/>
      <c r="Q85" s="9"/>
      <c r="R85" s="101">
        <v>15</v>
      </c>
      <c r="S85" s="19">
        <v>2393.49785532715</v>
      </c>
      <c r="T85" s="33">
        <v>58.333333333333336</v>
      </c>
      <c r="U85" s="12"/>
      <c r="V85" s="9"/>
      <c r="W85" s="101"/>
      <c r="X85" s="19"/>
      <c r="Y85" s="33"/>
      <c r="Z85" s="12"/>
      <c r="AA85" s="9"/>
      <c r="AB85" s="101"/>
      <c r="AC85" s="19"/>
      <c r="AD85" s="33"/>
      <c r="AE85" s="12"/>
      <c r="AF85" s="9"/>
      <c r="AG85" s="101"/>
      <c r="AH85" s="150"/>
      <c r="AI85" s="19"/>
      <c r="AJ85" s="33"/>
      <c r="AK85" s="12"/>
      <c r="AL85" s="9"/>
    </row>
    <row r="86" spans="1:38" ht="18" customHeight="1">
      <c r="A86" s="164"/>
      <c r="B86" s="6" t="s">
        <v>16</v>
      </c>
      <c r="C86" s="101">
        <v>97</v>
      </c>
      <c r="D86" s="9"/>
      <c r="E86" s="10"/>
      <c r="F86" s="11"/>
      <c r="G86" s="11"/>
      <c r="H86" s="101">
        <v>86</v>
      </c>
      <c r="I86" s="9"/>
      <c r="J86" s="33"/>
      <c r="K86" s="12"/>
      <c r="L86" s="9"/>
      <c r="M86" s="101">
        <v>43</v>
      </c>
      <c r="N86" s="9"/>
      <c r="O86" s="33"/>
      <c r="P86" s="12"/>
      <c r="Q86" s="9"/>
      <c r="R86" s="101">
        <v>49</v>
      </c>
      <c r="S86" s="19">
        <v>579.4637373363458</v>
      </c>
      <c r="T86" s="33">
        <v>14.122448979591837</v>
      </c>
      <c r="U86" s="12"/>
      <c r="V86" s="9"/>
      <c r="W86" s="101">
        <v>35</v>
      </c>
      <c r="X86" s="19">
        <v>368.5396378269618</v>
      </c>
      <c r="Y86" s="33">
        <v>14.971428571428572</v>
      </c>
      <c r="Z86" s="12"/>
      <c r="AA86" s="9"/>
      <c r="AB86" s="101">
        <v>18</v>
      </c>
      <c r="AC86" s="19">
        <f>12635.41/AB86</f>
        <v>701.9672222222222</v>
      </c>
      <c r="AD86" s="33">
        <f>(5348/10)/AB86</f>
        <v>29.71111111111111</v>
      </c>
      <c r="AE86" s="12"/>
      <c r="AF86" s="9"/>
      <c r="AG86" s="101">
        <v>27</v>
      </c>
      <c r="AH86" s="150"/>
      <c r="AI86" s="19">
        <v>624.2637037037036</v>
      </c>
      <c r="AJ86" s="33">
        <v>21.433333333333334</v>
      </c>
      <c r="AK86" s="12"/>
      <c r="AL86" s="9"/>
    </row>
    <row r="87" spans="1:38" ht="18" customHeight="1">
      <c r="A87" s="164"/>
      <c r="B87" s="6" t="s">
        <v>17</v>
      </c>
      <c r="C87" s="101">
        <v>0</v>
      </c>
      <c r="D87" s="9"/>
      <c r="E87" s="10"/>
      <c r="F87" s="11"/>
      <c r="G87" s="11"/>
      <c r="H87" s="101">
        <v>0</v>
      </c>
      <c r="I87" s="9"/>
      <c r="J87" s="33"/>
      <c r="K87" s="12"/>
      <c r="L87" s="9"/>
      <c r="M87" s="101">
        <v>0</v>
      </c>
      <c r="N87" s="9"/>
      <c r="O87" s="33"/>
      <c r="P87" s="12"/>
      <c r="Q87" s="9"/>
      <c r="R87" s="101">
        <v>0</v>
      </c>
      <c r="S87" s="19">
        <v>0</v>
      </c>
      <c r="T87" s="33">
        <v>0</v>
      </c>
      <c r="U87" s="12"/>
      <c r="V87" s="9"/>
      <c r="W87" s="101"/>
      <c r="X87" s="19"/>
      <c r="Y87" s="33"/>
      <c r="Z87" s="12"/>
      <c r="AA87" s="9"/>
      <c r="AB87" s="101"/>
      <c r="AC87" s="19"/>
      <c r="AD87" s="33"/>
      <c r="AE87" s="12"/>
      <c r="AF87" s="9"/>
      <c r="AG87" s="101"/>
      <c r="AH87" s="150"/>
      <c r="AI87" s="19"/>
      <c r="AJ87" s="33"/>
      <c r="AK87" s="12"/>
      <c r="AL87" s="9"/>
    </row>
    <row r="88" spans="1:38" ht="18" customHeight="1">
      <c r="A88" s="164"/>
      <c r="B88" s="6" t="s">
        <v>90</v>
      </c>
      <c r="C88" s="101"/>
      <c r="D88" s="9"/>
      <c r="E88" s="10"/>
      <c r="F88" s="11"/>
      <c r="G88" s="11"/>
      <c r="H88" s="101"/>
      <c r="I88" s="9"/>
      <c r="J88" s="33"/>
      <c r="K88" s="12"/>
      <c r="L88" s="9"/>
      <c r="M88" s="101"/>
      <c r="N88" s="9"/>
      <c r="O88" s="33"/>
      <c r="P88" s="12"/>
      <c r="Q88" s="9"/>
      <c r="R88" s="101"/>
      <c r="S88" s="19"/>
      <c r="T88" s="33"/>
      <c r="U88" s="12"/>
      <c r="V88" s="9"/>
      <c r="W88" s="97">
        <v>80</v>
      </c>
      <c r="X88" s="19">
        <v>731.4744116108783</v>
      </c>
      <c r="Y88" s="33">
        <v>18.7875</v>
      </c>
      <c r="Z88" s="12"/>
      <c r="AA88" s="9"/>
      <c r="AB88" s="97">
        <v>62</v>
      </c>
      <c r="AC88" s="19">
        <f>30622.19/AB88</f>
        <v>493.9062903225806</v>
      </c>
      <c r="AD88" s="33">
        <f>(12961/10)/AB88</f>
        <v>20.904838709677417</v>
      </c>
      <c r="AE88" s="12"/>
      <c r="AF88" s="9"/>
      <c r="AG88" s="97">
        <v>54</v>
      </c>
      <c r="AH88" s="147"/>
      <c r="AI88" s="19">
        <v>924.0925925925926</v>
      </c>
      <c r="AJ88" s="33">
        <v>31.727777777777778</v>
      </c>
      <c r="AK88" s="12"/>
      <c r="AL88" s="9"/>
    </row>
    <row r="89" spans="1:38" ht="18" customHeight="1">
      <c r="A89" s="164"/>
      <c r="B89" s="6" t="s">
        <v>18</v>
      </c>
      <c r="C89" s="101">
        <v>2</v>
      </c>
      <c r="D89" s="9"/>
      <c r="E89" s="10"/>
      <c r="F89" s="11"/>
      <c r="G89" s="11"/>
      <c r="H89" s="101">
        <v>4</v>
      </c>
      <c r="I89" s="9"/>
      <c r="J89" s="33"/>
      <c r="K89" s="12"/>
      <c r="L89" s="9"/>
      <c r="M89" s="101">
        <v>4</v>
      </c>
      <c r="N89" s="9"/>
      <c r="O89" s="33"/>
      <c r="P89" s="12"/>
      <c r="Q89" s="9"/>
      <c r="R89" s="101">
        <v>10</v>
      </c>
      <c r="S89" s="19">
        <v>1198.1166407237622</v>
      </c>
      <c r="T89" s="33">
        <v>29.2</v>
      </c>
      <c r="U89" s="12"/>
      <c r="V89" s="9"/>
      <c r="W89" s="101">
        <v>2</v>
      </c>
      <c r="X89" s="19">
        <v>1060.1632653061224</v>
      </c>
      <c r="Y89" s="33">
        <v>39</v>
      </c>
      <c r="Z89" s="12"/>
      <c r="AA89" s="9"/>
      <c r="AB89" s="101">
        <v>8</v>
      </c>
      <c r="AC89" s="19">
        <f>2910.77/AB89</f>
        <v>363.84625</v>
      </c>
      <c r="AD89" s="33">
        <f>(1232/10)/AB89</f>
        <v>15.4</v>
      </c>
      <c r="AE89" s="12"/>
      <c r="AF89" s="9"/>
      <c r="AG89" s="101">
        <v>9</v>
      </c>
      <c r="AH89" s="150"/>
      <c r="AI89" s="19">
        <v>482.19444444444446</v>
      </c>
      <c r="AJ89" s="33">
        <v>16.555555555555554</v>
      </c>
      <c r="AK89" s="12"/>
      <c r="AL89" s="9"/>
    </row>
    <row r="90" spans="1:38" s="60" customFormat="1" ht="18" customHeight="1">
      <c r="A90" s="164"/>
      <c r="B90" s="44" t="s">
        <v>19</v>
      </c>
      <c r="C90" s="55">
        <f>SUM(C80:C89)</f>
        <v>316</v>
      </c>
      <c r="D90" s="20"/>
      <c r="E90" s="55"/>
      <c r="F90" s="55"/>
      <c r="G90" s="55"/>
      <c r="H90" s="100">
        <f>SUM(H80:H89)</f>
        <v>276</v>
      </c>
      <c r="I90" s="20"/>
      <c r="J90" s="61"/>
      <c r="K90" s="56"/>
      <c r="L90" s="20"/>
      <c r="M90" s="102">
        <f>SUM(M80:M89)</f>
        <v>273</v>
      </c>
      <c r="N90" s="20"/>
      <c r="O90" s="61"/>
      <c r="P90" s="56"/>
      <c r="Q90" s="20"/>
      <c r="R90" s="102">
        <f>SUM(R80:R89)</f>
        <v>268</v>
      </c>
      <c r="S90" s="20">
        <v>858.6686194029851</v>
      </c>
      <c r="T90" s="61">
        <v>20.927114427860698</v>
      </c>
      <c r="U90" s="56"/>
      <c r="V90" s="20"/>
      <c r="W90" s="102">
        <f>SUM(W80:W89)</f>
        <v>200</v>
      </c>
      <c r="X90" s="20">
        <v>490.2182599145568</v>
      </c>
      <c r="Y90" s="61">
        <v>14.54</v>
      </c>
      <c r="Z90" s="56"/>
      <c r="AA90" s="20"/>
      <c r="AB90" s="102">
        <f>SUM(AB80:AB89)</f>
        <v>152</v>
      </c>
      <c r="AC90" s="20">
        <f>76712.6/AB90</f>
        <v>504.6881578947369</v>
      </c>
      <c r="AD90" s="61">
        <f>(32469/10)/AB90</f>
        <v>21.361184210526318</v>
      </c>
      <c r="AE90" s="56"/>
      <c r="AF90" s="20"/>
      <c r="AG90" s="102">
        <v>152</v>
      </c>
      <c r="AH90" s="149"/>
      <c r="AI90" s="20">
        <v>696.1822368421052</v>
      </c>
      <c r="AJ90" s="61">
        <v>23.902631578947368</v>
      </c>
      <c r="AK90" s="56"/>
      <c r="AL90" s="20"/>
    </row>
    <row r="91" spans="1:38" ht="18" customHeight="1">
      <c r="A91" s="164" t="s">
        <v>4</v>
      </c>
      <c r="B91" s="6" t="s">
        <v>10</v>
      </c>
      <c r="C91" s="129"/>
      <c r="D91" s="37" t="s">
        <v>71</v>
      </c>
      <c r="E91" s="10"/>
      <c r="F91" s="133"/>
      <c r="G91" s="64"/>
      <c r="H91" s="97">
        <v>1</v>
      </c>
      <c r="I91" s="37">
        <f>5223/H91</f>
        <v>5223</v>
      </c>
      <c r="J91" s="33">
        <f>109/1</f>
        <v>109</v>
      </c>
      <c r="K91" s="30"/>
      <c r="L91" s="9"/>
      <c r="M91" s="97">
        <v>1</v>
      </c>
      <c r="N91" s="37">
        <v>9189.562454120187</v>
      </c>
      <c r="O91" s="33">
        <v>204</v>
      </c>
      <c r="P91" s="30"/>
      <c r="Q91" s="9"/>
      <c r="R91" s="97">
        <v>1</v>
      </c>
      <c r="S91" s="37">
        <v>11894.925741732866</v>
      </c>
      <c r="T91" s="33">
        <v>218</v>
      </c>
      <c r="U91" s="30"/>
      <c r="V91" s="9"/>
      <c r="W91" s="97"/>
      <c r="X91" s="37"/>
      <c r="Y91" s="33"/>
      <c r="Z91" s="30"/>
      <c r="AA91" s="9"/>
      <c r="AB91" s="97"/>
      <c r="AC91" s="37"/>
      <c r="AD91" s="33"/>
      <c r="AE91" s="30"/>
      <c r="AF91" s="9"/>
      <c r="AG91" s="97"/>
      <c r="AH91" s="147"/>
      <c r="AI91" s="37"/>
      <c r="AJ91" s="33"/>
      <c r="AK91" s="30"/>
      <c r="AL91" s="9"/>
    </row>
    <row r="92" spans="1:38" ht="18" customHeight="1">
      <c r="A92" s="164"/>
      <c r="B92" s="6" t="s">
        <v>11</v>
      </c>
      <c r="C92" s="129">
        <v>42</v>
      </c>
      <c r="D92" s="37">
        <f>257747.17/42</f>
        <v>6136.837380952381</v>
      </c>
      <c r="E92" s="33">
        <f>3885/42</f>
        <v>92.5</v>
      </c>
      <c r="F92" s="29">
        <f>3885/260</f>
        <v>14.942307692307692</v>
      </c>
      <c r="G92" s="64"/>
      <c r="H92" s="97">
        <v>36</v>
      </c>
      <c r="I92" s="37">
        <f>234931.99/H92</f>
        <v>6525.888611111111</v>
      </c>
      <c r="J92" s="33">
        <f>3618/H92</f>
        <v>100.5</v>
      </c>
      <c r="K92" s="32">
        <f>3618/258</f>
        <v>14.023255813953488</v>
      </c>
      <c r="L92" s="9"/>
      <c r="M92" s="97">
        <v>32</v>
      </c>
      <c r="N92" s="37">
        <f>266577.52/M92</f>
        <v>8330.5475</v>
      </c>
      <c r="O92" s="33">
        <f>4506/M92</f>
        <v>140.8125</v>
      </c>
      <c r="P92" s="32">
        <f>4506/248</f>
        <v>18.169354838709676</v>
      </c>
      <c r="Q92" s="9"/>
      <c r="R92" s="97">
        <f>85-47</f>
        <v>38</v>
      </c>
      <c r="S92" s="37">
        <v>7387.238352561146</v>
      </c>
      <c r="T92" s="33">
        <v>118</v>
      </c>
      <c r="U92" s="32">
        <f>4173/248</f>
        <v>16.826612903225808</v>
      </c>
      <c r="V92" s="9"/>
      <c r="W92" s="97">
        <v>38</v>
      </c>
      <c r="X92" s="37">
        <v>6540.293947368421</v>
      </c>
      <c r="Y92" s="33">
        <v>110.3157894736842</v>
      </c>
      <c r="Z92" s="32">
        <f>4192/248</f>
        <v>16.903225806451612</v>
      </c>
      <c r="AA92" s="9"/>
      <c r="AB92" s="97">
        <v>47</v>
      </c>
      <c r="AC92" s="37">
        <f>252454.78/AB92</f>
        <v>5371.37829787234</v>
      </c>
      <c r="AD92" s="33">
        <f>4428/AB92</f>
        <v>94.2127659574468</v>
      </c>
      <c r="AE92" s="32">
        <f>4428/252</f>
        <v>17.571428571428573</v>
      </c>
      <c r="AF92" s="9"/>
      <c r="AG92" s="97">
        <v>51</v>
      </c>
      <c r="AH92" s="147">
        <v>0.9471</v>
      </c>
      <c r="AI92" s="37">
        <v>4599.006078431373</v>
      </c>
      <c r="AJ92" s="33">
        <v>92.61702127659575</v>
      </c>
      <c r="AK92" s="32">
        <v>17.481927710843372</v>
      </c>
      <c r="AL92" s="9"/>
    </row>
    <row r="93" spans="1:38" ht="18" customHeight="1">
      <c r="A93" s="164"/>
      <c r="B93" s="6" t="s">
        <v>12</v>
      </c>
      <c r="C93" s="129"/>
      <c r="D93" s="37" t="s">
        <v>71</v>
      </c>
      <c r="E93" s="16"/>
      <c r="F93" s="133"/>
      <c r="G93" s="64"/>
      <c r="H93" s="97" t="s">
        <v>71</v>
      </c>
      <c r="I93" s="37" t="s">
        <v>71</v>
      </c>
      <c r="J93" s="33" t="s">
        <v>71</v>
      </c>
      <c r="K93" s="31"/>
      <c r="L93" s="9"/>
      <c r="M93" s="97"/>
      <c r="N93" s="87"/>
      <c r="O93" s="33"/>
      <c r="P93" s="30"/>
      <c r="Q93" s="9"/>
      <c r="R93" s="97">
        <v>0</v>
      </c>
      <c r="S93" s="45">
        <v>0</v>
      </c>
      <c r="T93" s="33">
        <v>0</v>
      </c>
      <c r="U93" s="30"/>
      <c r="V93" s="9"/>
      <c r="W93" s="97"/>
      <c r="X93" s="45"/>
      <c r="Y93" s="33"/>
      <c r="Z93" s="30"/>
      <c r="AA93" s="9"/>
      <c r="AB93" s="97"/>
      <c r="AC93" s="45"/>
      <c r="AD93" s="33"/>
      <c r="AE93" s="30"/>
      <c r="AF93" s="9"/>
      <c r="AG93" s="97"/>
      <c r="AH93" s="147"/>
      <c r="AI93" s="45"/>
      <c r="AJ93" s="33"/>
      <c r="AK93" s="30"/>
      <c r="AL93" s="9"/>
    </row>
    <row r="94" spans="1:38" ht="18" customHeight="1">
      <c r="A94" s="164"/>
      <c r="B94" s="6" t="s">
        <v>13</v>
      </c>
      <c r="C94" s="129">
        <v>57</v>
      </c>
      <c r="D94" s="37">
        <f>236676.35/(C94+C96)</f>
        <v>3944.6058333333335</v>
      </c>
      <c r="E94" s="29">
        <f>5577/(C94+C96)</f>
        <v>92.95</v>
      </c>
      <c r="F94" s="29">
        <f>5577/258</f>
        <v>21.61627906976744</v>
      </c>
      <c r="G94" s="64"/>
      <c r="H94" s="97">
        <v>42</v>
      </c>
      <c r="I94" s="37">
        <f>216676.57/H94</f>
        <v>5158.965952380952</v>
      </c>
      <c r="J94" s="33">
        <f>4522/H94</f>
        <v>107.66666666666667</v>
      </c>
      <c r="K94" s="32">
        <f>4858/252</f>
        <v>19.27777777777778</v>
      </c>
      <c r="L94" s="9"/>
      <c r="M94" s="97">
        <v>41</v>
      </c>
      <c r="N94" s="37">
        <v>5650.636023617901</v>
      </c>
      <c r="O94" s="33">
        <f>5143/M94</f>
        <v>125.4390243902439</v>
      </c>
      <c r="P94" s="32">
        <f>5558/255</f>
        <v>21.79607843137255</v>
      </c>
      <c r="Q94" s="9"/>
      <c r="R94" s="97">
        <v>55</v>
      </c>
      <c r="S94" s="37">
        <v>4914.717441580035</v>
      </c>
      <c r="T94" s="33">
        <v>90.07272727272728</v>
      </c>
      <c r="U94" s="32">
        <f>5413/249</f>
        <v>21.73895582329317</v>
      </c>
      <c r="V94" s="9"/>
      <c r="W94" s="97"/>
      <c r="X94" s="37"/>
      <c r="Y94" s="33"/>
      <c r="Z94" s="32"/>
      <c r="AA94" s="9"/>
      <c r="AB94" s="97"/>
      <c r="AC94" s="37"/>
      <c r="AD94" s="33"/>
      <c r="AE94" s="32"/>
      <c r="AF94" s="9"/>
      <c r="AG94" s="97"/>
      <c r="AH94" s="147"/>
      <c r="AI94" s="37"/>
      <c r="AJ94" s="33"/>
      <c r="AK94" s="32"/>
      <c r="AL94" s="9"/>
    </row>
    <row r="95" spans="1:38" ht="18" customHeight="1">
      <c r="A95" s="164"/>
      <c r="B95" s="6" t="s">
        <v>14</v>
      </c>
      <c r="C95" s="129"/>
      <c r="D95" s="37"/>
      <c r="E95" s="16"/>
      <c r="F95" s="133"/>
      <c r="G95" s="64"/>
      <c r="H95" s="97"/>
      <c r="I95" s="37"/>
      <c r="J95" s="33"/>
      <c r="K95" s="30"/>
      <c r="L95" s="9"/>
      <c r="M95" s="97">
        <v>27</v>
      </c>
      <c r="N95" s="37">
        <v>712.5762962962964</v>
      </c>
      <c r="O95" s="33">
        <v>120</v>
      </c>
      <c r="P95" s="74"/>
      <c r="Q95" s="9"/>
      <c r="R95" s="97">
        <v>33</v>
      </c>
      <c r="S95" s="37">
        <v>851.4846748337749</v>
      </c>
      <c r="T95" s="33">
        <v>104.21212121212122</v>
      </c>
      <c r="U95" s="74"/>
      <c r="V95" s="9"/>
      <c r="W95" s="97">
        <v>31</v>
      </c>
      <c r="X95" s="37">
        <v>1130.263870967742</v>
      </c>
      <c r="Y95" s="33">
        <v>76.90322580645162</v>
      </c>
      <c r="Z95" s="74"/>
      <c r="AA95" s="9"/>
      <c r="AB95" s="97">
        <v>28</v>
      </c>
      <c r="AC95" s="37">
        <f>36195.48/AB95</f>
        <v>1292.6957142857143</v>
      </c>
      <c r="AD95" s="33">
        <f>3486/AB95</f>
        <v>124.5</v>
      </c>
      <c r="AE95" s="74"/>
      <c r="AF95" s="9"/>
      <c r="AG95" s="97">
        <v>50</v>
      </c>
      <c r="AH95" s="147"/>
      <c r="AI95" s="37">
        <v>2617.7784</v>
      </c>
      <c r="AJ95" s="33">
        <v>149.39285714285714</v>
      </c>
      <c r="AK95" s="74"/>
      <c r="AL95" s="9"/>
    </row>
    <row r="96" spans="1:38" ht="18" customHeight="1">
      <c r="A96" s="164"/>
      <c r="B96" s="6" t="s">
        <v>15</v>
      </c>
      <c r="C96" s="129">
        <v>3</v>
      </c>
      <c r="D96" s="37"/>
      <c r="E96" s="16"/>
      <c r="F96" s="133"/>
      <c r="G96" s="45"/>
      <c r="H96" s="97">
        <v>2</v>
      </c>
      <c r="I96" s="37">
        <f>10887/H96</f>
        <v>5443.5</v>
      </c>
      <c r="J96" s="33">
        <f>227/2</f>
        <v>113.5</v>
      </c>
      <c r="K96" s="87"/>
      <c r="L96" s="9"/>
      <c r="M96" s="97">
        <v>3</v>
      </c>
      <c r="N96" s="37">
        <v>3168.2968591819604</v>
      </c>
      <c r="O96" s="33">
        <f>211/3</f>
        <v>70.33333333333333</v>
      </c>
      <c r="P96" s="30"/>
      <c r="Q96" s="9"/>
      <c r="R96" s="97">
        <v>22</v>
      </c>
      <c r="S96" s="37">
        <v>1016.8157170205649</v>
      </c>
      <c r="T96" s="33">
        <v>78.0909090909091</v>
      </c>
      <c r="U96" s="30"/>
      <c r="V96" s="9"/>
      <c r="W96" s="97"/>
      <c r="X96" s="37"/>
      <c r="Y96" s="33"/>
      <c r="Z96" s="30"/>
      <c r="AA96" s="9"/>
      <c r="AB96" s="97"/>
      <c r="AC96" s="37"/>
      <c r="AD96" s="33"/>
      <c r="AE96" s="30"/>
      <c r="AF96" s="9"/>
      <c r="AG96" s="97"/>
      <c r="AH96" s="147"/>
      <c r="AI96" s="37"/>
      <c r="AJ96" s="33"/>
      <c r="AK96" s="30"/>
      <c r="AL96" s="9"/>
    </row>
    <row r="97" spans="1:38" ht="18" customHeight="1">
      <c r="A97" s="164"/>
      <c r="B97" s="6" t="s">
        <v>16</v>
      </c>
      <c r="C97" s="129">
        <v>52</v>
      </c>
      <c r="D97" s="37">
        <v>4974</v>
      </c>
      <c r="E97" s="16">
        <v>88</v>
      </c>
      <c r="F97" s="29">
        <f>4572/245</f>
        <v>18.66122448979592</v>
      </c>
      <c r="G97" s="64"/>
      <c r="H97" s="97">
        <v>41</v>
      </c>
      <c r="I97" s="37">
        <f>261025.53/H97</f>
        <v>6366.476341463414</v>
      </c>
      <c r="J97" s="33">
        <f>4935/H97</f>
        <v>120.36585365853658</v>
      </c>
      <c r="K97" s="32">
        <f>4935/244</f>
        <v>20.225409836065573</v>
      </c>
      <c r="L97" s="9"/>
      <c r="M97" s="97">
        <v>37</v>
      </c>
      <c r="N97" s="37">
        <v>7732.452007978231</v>
      </c>
      <c r="O97" s="33">
        <f>4371/M97</f>
        <v>118.13513513513513</v>
      </c>
      <c r="P97" s="32">
        <f>4371/255</f>
        <v>17.141176470588235</v>
      </c>
      <c r="Q97" s="9"/>
      <c r="R97" s="97">
        <v>45</v>
      </c>
      <c r="S97" s="37">
        <v>5850.226</v>
      </c>
      <c r="T97" s="33">
        <v>94.28888888888889</v>
      </c>
      <c r="U97" s="32">
        <f>4243/254</f>
        <v>16.70472440944882</v>
      </c>
      <c r="V97" s="9"/>
      <c r="W97" s="97">
        <v>42</v>
      </c>
      <c r="X97" s="37">
        <v>6125.572619047618</v>
      </c>
      <c r="Y97" s="33">
        <v>95.54761904761905</v>
      </c>
      <c r="Z97" s="32">
        <f>4013/248</f>
        <v>16.181451612903224</v>
      </c>
      <c r="AA97" s="9"/>
      <c r="AB97" s="97">
        <v>39</v>
      </c>
      <c r="AC97" s="37">
        <f>245995.27/AB97</f>
        <v>6307.571025641026</v>
      </c>
      <c r="AD97" s="33">
        <f>4181/AB97</f>
        <v>107.2051282051282</v>
      </c>
      <c r="AE97" s="32">
        <f>4181/252</f>
        <v>16.591269841269842</v>
      </c>
      <c r="AF97" s="9"/>
      <c r="AG97" s="97">
        <v>47</v>
      </c>
      <c r="AH97" s="147">
        <v>0.9318</v>
      </c>
      <c r="AI97" s="37">
        <v>5340.663404255319</v>
      </c>
      <c r="AJ97" s="33">
        <v>110.84615384615384</v>
      </c>
      <c r="AK97" s="32">
        <v>17.265060240963855</v>
      </c>
      <c r="AL97" s="9"/>
    </row>
    <row r="98" spans="1:38" ht="18" customHeight="1">
      <c r="A98" s="164"/>
      <c r="B98" s="6" t="s">
        <v>17</v>
      </c>
      <c r="C98" s="129"/>
      <c r="D98" s="37"/>
      <c r="E98" s="16"/>
      <c r="F98" s="133"/>
      <c r="G98" s="64"/>
      <c r="H98" s="97" t="s">
        <v>71</v>
      </c>
      <c r="I98" s="87"/>
      <c r="J98" s="87"/>
      <c r="K98" s="30"/>
      <c r="L98" s="9"/>
      <c r="M98" s="97"/>
      <c r="N98" s="87"/>
      <c r="O98" s="33"/>
      <c r="P98" s="30"/>
      <c r="Q98" s="9"/>
      <c r="R98" s="97">
        <v>0</v>
      </c>
      <c r="S98" s="45">
        <v>0</v>
      </c>
      <c r="T98" s="33">
        <v>0</v>
      </c>
      <c r="U98" s="30"/>
      <c r="V98" s="9"/>
      <c r="W98" s="97"/>
      <c r="X98" s="45"/>
      <c r="Y98" s="33"/>
      <c r="Z98" s="30"/>
      <c r="AA98" s="9"/>
      <c r="AB98" s="97"/>
      <c r="AC98" s="45"/>
      <c r="AD98" s="33"/>
      <c r="AE98" s="30"/>
      <c r="AF98" s="9"/>
      <c r="AG98" s="97"/>
      <c r="AH98" s="147"/>
      <c r="AI98" s="45"/>
      <c r="AJ98" s="33"/>
      <c r="AK98" s="30"/>
      <c r="AL98" s="9"/>
    </row>
    <row r="99" spans="1:38" ht="18" customHeight="1">
      <c r="A99" s="164"/>
      <c r="B99" s="6" t="s">
        <v>90</v>
      </c>
      <c r="C99" s="129"/>
      <c r="D99" s="37"/>
      <c r="E99" s="16"/>
      <c r="F99" s="133"/>
      <c r="G99" s="64"/>
      <c r="H99" s="97"/>
      <c r="I99" s="87"/>
      <c r="J99" s="87"/>
      <c r="K99" s="30"/>
      <c r="L99" s="9"/>
      <c r="M99" s="97"/>
      <c r="N99" s="87"/>
      <c r="O99" s="33"/>
      <c r="P99" s="30"/>
      <c r="Q99" s="9"/>
      <c r="R99" s="97"/>
      <c r="S99" s="45"/>
      <c r="T99" s="33"/>
      <c r="U99" s="30"/>
      <c r="V99" s="9"/>
      <c r="W99" s="97">
        <v>81</v>
      </c>
      <c r="X99" s="37">
        <v>3645.106790123457</v>
      </c>
      <c r="Y99" s="33">
        <v>79.91358024691358</v>
      </c>
      <c r="Z99" s="32">
        <f>5250/247</f>
        <v>21.25506072874494</v>
      </c>
      <c r="AA99" s="9"/>
      <c r="AB99" s="97">
        <f>55+27</f>
        <v>82</v>
      </c>
      <c r="AC99" s="37">
        <f>(284546.81+4820.74)/AB99</f>
        <v>3528.8725609756098</v>
      </c>
      <c r="AD99" s="33">
        <f>(6064+'[1]An10 Centri Diurni '!$P$114)/AB99</f>
        <v>74.10975609756098</v>
      </c>
      <c r="AE99" s="32">
        <f>(6064)/252</f>
        <v>24.063492063492063</v>
      </c>
      <c r="AF99" s="9"/>
      <c r="AG99" s="97">
        <v>66</v>
      </c>
      <c r="AH99" s="147">
        <v>0.9321</v>
      </c>
      <c r="AI99" s="37">
        <v>4404.856212121213</v>
      </c>
      <c r="AJ99" s="33">
        <v>82.28048780487805</v>
      </c>
      <c r="AK99" s="32">
        <v>23.566265060240966</v>
      </c>
      <c r="AL99" s="9"/>
    </row>
    <row r="100" spans="1:38" ht="18" customHeight="1">
      <c r="A100" s="164"/>
      <c r="B100" s="6" t="s">
        <v>18</v>
      </c>
      <c r="C100" s="129">
        <v>57</v>
      </c>
      <c r="D100" s="37">
        <v>8045</v>
      </c>
      <c r="E100" s="16">
        <v>139</v>
      </c>
      <c r="F100" s="29">
        <f>7904/498</f>
        <v>15.8714859437751</v>
      </c>
      <c r="G100" s="64"/>
      <c r="H100" s="97">
        <v>79</v>
      </c>
      <c r="I100" s="37">
        <f>495775.41/H100</f>
        <v>6275.638101265822</v>
      </c>
      <c r="J100" s="33">
        <f>7133/H100</f>
        <v>90.29113924050633</v>
      </c>
      <c r="K100" s="32">
        <f>7133/490</f>
        <v>14.557142857142857</v>
      </c>
      <c r="L100" s="9"/>
      <c r="M100" s="97">
        <v>92</v>
      </c>
      <c r="N100" s="37">
        <v>5598.127065217392</v>
      </c>
      <c r="O100" s="33">
        <f>8597/M100</f>
        <v>93.44565217391305</v>
      </c>
      <c r="P100" s="32">
        <f>8597/494</f>
        <v>17.402834008097166</v>
      </c>
      <c r="Q100" s="9"/>
      <c r="R100" s="97">
        <v>71</v>
      </c>
      <c r="S100" s="37">
        <v>7031.674613099644</v>
      </c>
      <c r="T100" s="33">
        <v>120.12676056338029</v>
      </c>
      <c r="U100" s="32">
        <f>(4761+4201)/496</f>
        <v>18.068548387096776</v>
      </c>
      <c r="V100" s="9"/>
      <c r="W100" s="97">
        <v>80</v>
      </c>
      <c r="X100" s="37">
        <f>(258189.48+278858.83)/80</f>
        <v>6713.103875000001</v>
      </c>
      <c r="Y100" s="33">
        <f>(4224+5306)/80</f>
        <v>119.125</v>
      </c>
      <c r="Z100" s="32">
        <f>9530/500</f>
        <v>19.06</v>
      </c>
      <c r="AA100" s="9"/>
      <c r="AB100" s="97">
        <f>46+39</f>
        <v>85</v>
      </c>
      <c r="AC100" s="37">
        <f>(265753.65+272960.49)/AB100</f>
        <v>6337.813411764706</v>
      </c>
      <c r="AD100" s="33">
        <f>(4949+6086)/AB100</f>
        <v>129.8235294117647</v>
      </c>
      <c r="AE100" s="32">
        <f>(4949+6086)/504</f>
        <v>21.89484126984127</v>
      </c>
      <c r="AF100" s="9"/>
      <c r="AG100" s="97">
        <v>74</v>
      </c>
      <c r="AH100" s="147">
        <v>0.9083</v>
      </c>
      <c r="AI100" s="37">
        <v>5626.749324324324</v>
      </c>
      <c r="AJ100" s="33">
        <v>97.48235294117647</v>
      </c>
      <c r="AK100" s="32">
        <v>21.8855421686747</v>
      </c>
      <c r="AL100" s="9"/>
    </row>
    <row r="101" spans="1:38" s="60" customFormat="1" ht="18" customHeight="1">
      <c r="A101" s="164"/>
      <c r="B101" s="44" t="s">
        <v>19</v>
      </c>
      <c r="C101" s="55">
        <f>SUM(C92:C100)</f>
        <v>211</v>
      </c>
      <c r="D101" s="20">
        <f>1211653.23/C101</f>
        <v>5742.432369668247</v>
      </c>
      <c r="E101" s="61">
        <f>21938/C101</f>
        <v>103.97156398104265</v>
      </c>
      <c r="F101" s="61">
        <f>21938/1261</f>
        <v>17.397303727200633</v>
      </c>
      <c r="G101" s="55"/>
      <c r="H101" s="100">
        <f>SUM(H91:H100)</f>
        <v>201</v>
      </c>
      <c r="I101" s="20">
        <f>1224509.31/H101</f>
        <v>6092.086119402986</v>
      </c>
      <c r="J101" s="61">
        <f>20544/H101</f>
        <v>102.2089552238806</v>
      </c>
      <c r="K101" s="61">
        <f>20544/1244</f>
        <v>16.514469453376204</v>
      </c>
      <c r="L101" s="20"/>
      <c r="M101" s="100">
        <f>SUM(M91:M100)</f>
        <v>233</v>
      </c>
      <c r="N101" s="20">
        <f>1421289.94/233</f>
        <v>6099.956824034334</v>
      </c>
      <c r="O101" s="61">
        <f>31507/M101</f>
        <v>135.22317596566523</v>
      </c>
      <c r="P101" s="61">
        <f>23032/1247</f>
        <v>18.469927826784282</v>
      </c>
      <c r="Q101" s="61"/>
      <c r="R101" s="100">
        <f>SUM(R91:R100)</f>
        <v>265</v>
      </c>
      <c r="S101" s="20">
        <v>5579.275509433963</v>
      </c>
      <c r="T101" s="61">
        <v>124.82641509433962</v>
      </c>
      <c r="U101" s="61"/>
      <c r="V101" s="61"/>
      <c r="W101" s="100">
        <f>SUM(W91:W100)</f>
        <v>272</v>
      </c>
      <c r="X101" s="20">
        <v>5048.328529411764</v>
      </c>
      <c r="Y101" s="61">
        <v>97.76470588235294</v>
      </c>
      <c r="Z101" s="61"/>
      <c r="AA101" s="61"/>
      <c r="AB101" s="100">
        <f>SUM(AB91:AB100)</f>
        <v>281</v>
      </c>
      <c r="AC101" s="20">
        <f>1447007.54/AB101</f>
        <v>5149.493024911032</v>
      </c>
      <c r="AD101" s="61">
        <f>36294/AB101</f>
        <v>129.16014234875445</v>
      </c>
      <c r="AE101" s="61"/>
      <c r="AF101" s="61"/>
      <c r="AG101" s="61">
        <v>288</v>
      </c>
      <c r="AH101" s="170">
        <v>0.9243</v>
      </c>
      <c r="AI101" s="20">
        <v>4595.6575347222215</v>
      </c>
      <c r="AJ101" s="61">
        <v>99.25978647686833</v>
      </c>
      <c r="AK101" s="61"/>
      <c r="AL101" s="61"/>
    </row>
    <row r="102" spans="1:38" ht="18" customHeight="1">
      <c r="A102" s="164" t="s">
        <v>5</v>
      </c>
      <c r="B102" s="6" t="s">
        <v>10</v>
      </c>
      <c r="C102" s="101">
        <v>14</v>
      </c>
      <c r="D102" s="9"/>
      <c r="E102" s="10"/>
      <c r="F102" s="10"/>
      <c r="G102" s="11"/>
      <c r="H102" s="97">
        <v>7</v>
      </c>
      <c r="I102" s="9"/>
      <c r="J102" s="33"/>
      <c r="K102" s="10"/>
      <c r="L102" s="9"/>
      <c r="M102" s="97">
        <v>12</v>
      </c>
      <c r="N102" s="9"/>
      <c r="O102" s="33"/>
      <c r="P102" s="10"/>
      <c r="Q102" s="9"/>
      <c r="R102" s="97">
        <v>9</v>
      </c>
      <c r="S102" s="19"/>
      <c r="T102" s="33"/>
      <c r="U102" s="10"/>
      <c r="V102" s="9"/>
      <c r="W102" s="97"/>
      <c r="X102" s="19"/>
      <c r="Y102" s="33"/>
      <c r="Z102" s="10"/>
      <c r="AA102" s="9"/>
      <c r="AB102" s="97"/>
      <c r="AC102" s="19"/>
      <c r="AD102" s="33"/>
      <c r="AE102" s="10"/>
      <c r="AF102" s="9"/>
      <c r="AG102" s="97"/>
      <c r="AH102" s="147"/>
      <c r="AI102" s="19"/>
      <c r="AJ102" s="33"/>
      <c r="AK102" s="10"/>
      <c r="AL102" s="9"/>
    </row>
    <row r="103" spans="1:38" ht="18" customHeight="1">
      <c r="A103" s="164"/>
      <c r="B103" s="6" t="s">
        <v>11</v>
      </c>
      <c r="C103" s="101">
        <v>26</v>
      </c>
      <c r="D103" s="9"/>
      <c r="E103" s="10"/>
      <c r="F103" s="10"/>
      <c r="G103" s="11"/>
      <c r="H103" s="97">
        <v>25</v>
      </c>
      <c r="I103" s="9"/>
      <c r="J103" s="33"/>
      <c r="K103" s="10"/>
      <c r="L103" s="9"/>
      <c r="M103" s="97">
        <v>28</v>
      </c>
      <c r="N103" s="9"/>
      <c r="O103" s="33"/>
      <c r="P103" s="10"/>
      <c r="Q103" s="9"/>
      <c r="R103" s="97">
        <v>27</v>
      </c>
      <c r="S103" s="19"/>
      <c r="T103" s="33"/>
      <c r="U103" s="10"/>
      <c r="V103" s="9"/>
      <c r="W103" s="97">
        <v>35</v>
      </c>
      <c r="X103" s="19"/>
      <c r="Y103" s="10"/>
      <c r="Z103" s="10"/>
      <c r="AA103" s="9"/>
      <c r="AB103" s="97">
        <v>17</v>
      </c>
      <c r="AC103" s="19"/>
      <c r="AD103" s="10"/>
      <c r="AE103" s="10"/>
      <c r="AF103" s="9"/>
      <c r="AG103" s="97">
        <v>15</v>
      </c>
      <c r="AH103" s="147"/>
      <c r="AI103" s="19"/>
      <c r="AJ103" s="10"/>
      <c r="AK103" s="10"/>
      <c r="AL103" s="9"/>
    </row>
    <row r="104" spans="1:38" ht="18" customHeight="1">
      <c r="A104" s="164"/>
      <c r="B104" s="6" t="s">
        <v>12</v>
      </c>
      <c r="C104" s="101">
        <v>3</v>
      </c>
      <c r="D104" s="9"/>
      <c r="E104" s="10"/>
      <c r="F104" s="10"/>
      <c r="G104" s="11"/>
      <c r="H104" s="97">
        <v>2</v>
      </c>
      <c r="I104" s="9"/>
      <c r="J104" s="33"/>
      <c r="K104" s="10"/>
      <c r="L104" s="9"/>
      <c r="M104" s="97">
        <v>2</v>
      </c>
      <c r="N104" s="9"/>
      <c r="O104" s="33"/>
      <c r="P104" s="10"/>
      <c r="Q104" s="9"/>
      <c r="R104" s="97">
        <v>3</v>
      </c>
      <c r="S104" s="19"/>
      <c r="T104" s="33"/>
      <c r="U104" s="10"/>
      <c r="V104" s="9"/>
      <c r="W104" s="97"/>
      <c r="X104" s="19"/>
      <c r="Y104" s="10"/>
      <c r="Z104" s="10"/>
      <c r="AA104" s="9"/>
      <c r="AB104" s="97"/>
      <c r="AC104" s="19"/>
      <c r="AD104" s="10"/>
      <c r="AE104" s="10"/>
      <c r="AF104" s="9"/>
      <c r="AG104" s="97"/>
      <c r="AH104" s="147"/>
      <c r="AI104" s="19"/>
      <c r="AJ104" s="10"/>
      <c r="AK104" s="10"/>
      <c r="AL104" s="9"/>
    </row>
    <row r="105" spans="1:38" ht="18" customHeight="1">
      <c r="A105" s="164"/>
      <c r="B105" s="6" t="s">
        <v>13</v>
      </c>
      <c r="C105" s="101">
        <v>16</v>
      </c>
      <c r="D105" s="9"/>
      <c r="E105" s="10"/>
      <c r="F105" s="10"/>
      <c r="G105" s="11"/>
      <c r="H105" s="97">
        <v>15</v>
      </c>
      <c r="I105" s="9"/>
      <c r="J105" s="33"/>
      <c r="K105" s="10"/>
      <c r="L105" s="9"/>
      <c r="M105" s="97">
        <v>9</v>
      </c>
      <c r="N105" s="9"/>
      <c r="O105" s="33"/>
      <c r="P105" s="10"/>
      <c r="Q105" s="9"/>
      <c r="R105" s="97">
        <v>10</v>
      </c>
      <c r="S105" s="19"/>
      <c r="T105" s="33"/>
      <c r="U105" s="10"/>
      <c r="V105" s="9"/>
      <c r="W105" s="97"/>
      <c r="X105" s="19"/>
      <c r="Y105" s="10"/>
      <c r="Z105" s="10"/>
      <c r="AA105" s="9"/>
      <c r="AB105" s="97"/>
      <c r="AC105" s="19"/>
      <c r="AD105" s="10"/>
      <c r="AE105" s="10"/>
      <c r="AF105" s="9"/>
      <c r="AG105" s="97"/>
      <c r="AH105" s="147"/>
      <c r="AI105" s="19"/>
      <c r="AJ105" s="10"/>
      <c r="AK105" s="10"/>
      <c r="AL105" s="9"/>
    </row>
    <row r="106" spans="1:38" ht="18" customHeight="1">
      <c r="A106" s="164"/>
      <c r="B106" s="6" t="s">
        <v>14</v>
      </c>
      <c r="C106" s="101">
        <v>9</v>
      </c>
      <c r="D106" s="9"/>
      <c r="E106" s="10"/>
      <c r="F106" s="10"/>
      <c r="G106" s="11"/>
      <c r="H106" s="97">
        <v>8</v>
      </c>
      <c r="I106" s="9"/>
      <c r="J106" s="33"/>
      <c r="K106" s="10"/>
      <c r="L106" s="9"/>
      <c r="M106" s="97">
        <v>8</v>
      </c>
      <c r="N106" s="9"/>
      <c r="O106" s="33"/>
      <c r="P106" s="10"/>
      <c r="Q106" s="9"/>
      <c r="R106" s="97">
        <v>9</v>
      </c>
      <c r="S106" s="19"/>
      <c r="T106" s="33"/>
      <c r="U106" s="10"/>
      <c r="V106" s="9"/>
      <c r="W106" s="97">
        <v>7</v>
      </c>
      <c r="X106" s="19"/>
      <c r="Y106" s="10"/>
      <c r="Z106" s="10"/>
      <c r="AA106" s="9"/>
      <c r="AB106" s="97">
        <v>3</v>
      </c>
      <c r="AC106" s="19"/>
      <c r="AD106" s="10"/>
      <c r="AE106" s="10"/>
      <c r="AF106" s="9"/>
      <c r="AG106" s="97">
        <v>2</v>
      </c>
      <c r="AH106" s="147"/>
      <c r="AI106" s="19"/>
      <c r="AJ106" s="10"/>
      <c r="AK106" s="10"/>
      <c r="AL106" s="9"/>
    </row>
    <row r="107" spans="1:38" ht="18" customHeight="1">
      <c r="A107" s="164"/>
      <c r="B107" s="6" t="s">
        <v>15</v>
      </c>
      <c r="C107" s="101">
        <v>0</v>
      </c>
      <c r="D107" s="9"/>
      <c r="E107" s="10"/>
      <c r="F107" s="11"/>
      <c r="G107" s="11"/>
      <c r="H107" s="97">
        <v>0</v>
      </c>
      <c r="I107" s="9"/>
      <c r="J107" s="33"/>
      <c r="K107" s="10"/>
      <c r="L107" s="9"/>
      <c r="M107" s="97">
        <v>1</v>
      </c>
      <c r="N107" s="9"/>
      <c r="O107" s="33"/>
      <c r="P107" s="10"/>
      <c r="Q107" s="9"/>
      <c r="R107" s="97">
        <v>2</v>
      </c>
      <c r="S107" s="19"/>
      <c r="T107" s="33"/>
      <c r="U107" s="10"/>
      <c r="V107" s="9"/>
      <c r="W107" s="97"/>
      <c r="X107" s="19"/>
      <c r="Y107" s="10"/>
      <c r="Z107" s="10"/>
      <c r="AA107" s="9"/>
      <c r="AB107" s="97"/>
      <c r="AC107" s="19"/>
      <c r="AD107" s="10"/>
      <c r="AE107" s="10"/>
      <c r="AF107" s="9"/>
      <c r="AG107" s="97"/>
      <c r="AH107" s="147"/>
      <c r="AI107" s="19"/>
      <c r="AJ107" s="10"/>
      <c r="AK107" s="10"/>
      <c r="AL107" s="9"/>
    </row>
    <row r="108" spans="1:38" ht="18" customHeight="1">
      <c r="A108" s="164"/>
      <c r="B108" s="6" t="s">
        <v>16</v>
      </c>
      <c r="C108" s="101">
        <v>5</v>
      </c>
      <c r="D108" s="9"/>
      <c r="E108" s="10"/>
      <c r="F108" s="10"/>
      <c r="G108" s="11"/>
      <c r="H108" s="97">
        <v>5</v>
      </c>
      <c r="I108" s="9"/>
      <c r="J108" s="33"/>
      <c r="K108" s="10"/>
      <c r="L108" s="9"/>
      <c r="M108" s="97">
        <v>5</v>
      </c>
      <c r="N108" s="9"/>
      <c r="O108" s="33"/>
      <c r="P108" s="10"/>
      <c r="Q108" s="9"/>
      <c r="R108" s="97">
        <v>7</v>
      </c>
      <c r="S108" s="19"/>
      <c r="T108" s="33"/>
      <c r="U108" s="10"/>
      <c r="V108" s="9"/>
      <c r="W108" s="97">
        <v>6</v>
      </c>
      <c r="X108" s="19"/>
      <c r="Y108" s="10"/>
      <c r="Z108" s="10"/>
      <c r="AA108" s="9"/>
      <c r="AB108" s="97">
        <v>2</v>
      </c>
      <c r="AC108" s="19"/>
      <c r="AD108" s="10"/>
      <c r="AE108" s="10"/>
      <c r="AF108" s="9"/>
      <c r="AG108" s="97">
        <v>2</v>
      </c>
      <c r="AH108" s="147"/>
      <c r="AI108" s="19"/>
      <c r="AJ108" s="10"/>
      <c r="AK108" s="10"/>
      <c r="AL108" s="9"/>
    </row>
    <row r="109" spans="1:38" ht="18" customHeight="1">
      <c r="A109" s="164"/>
      <c r="B109" s="6" t="s">
        <v>17</v>
      </c>
      <c r="C109" s="101">
        <v>1</v>
      </c>
      <c r="D109" s="9"/>
      <c r="E109" s="10"/>
      <c r="F109" s="10"/>
      <c r="G109" s="11"/>
      <c r="H109" s="97">
        <v>1</v>
      </c>
      <c r="I109" s="9"/>
      <c r="J109" s="33"/>
      <c r="K109" s="10"/>
      <c r="L109" s="9"/>
      <c r="M109" s="97">
        <v>1</v>
      </c>
      <c r="N109" s="9"/>
      <c r="O109" s="33"/>
      <c r="P109" s="10"/>
      <c r="Q109" s="9"/>
      <c r="R109" s="97">
        <v>2</v>
      </c>
      <c r="S109" s="19"/>
      <c r="T109" s="33"/>
      <c r="U109" s="10"/>
      <c r="V109" s="9"/>
      <c r="W109" s="97"/>
      <c r="X109" s="19"/>
      <c r="Y109" s="10"/>
      <c r="Z109" s="10"/>
      <c r="AA109" s="9"/>
      <c r="AB109" s="97"/>
      <c r="AC109" s="19"/>
      <c r="AD109" s="10"/>
      <c r="AE109" s="10"/>
      <c r="AF109" s="9"/>
      <c r="AG109" s="97"/>
      <c r="AH109" s="147"/>
      <c r="AI109" s="19"/>
      <c r="AJ109" s="10"/>
      <c r="AK109" s="10"/>
      <c r="AL109" s="9"/>
    </row>
    <row r="110" spans="1:38" ht="18" customHeight="1">
      <c r="A110" s="164"/>
      <c r="B110" s="6" t="s">
        <v>90</v>
      </c>
      <c r="C110" s="101"/>
      <c r="D110" s="9"/>
      <c r="E110" s="10"/>
      <c r="F110" s="10"/>
      <c r="G110" s="11"/>
      <c r="H110" s="97"/>
      <c r="I110" s="9"/>
      <c r="J110" s="33"/>
      <c r="K110" s="10"/>
      <c r="L110" s="9"/>
      <c r="M110" s="97"/>
      <c r="N110" s="9"/>
      <c r="O110" s="33"/>
      <c r="P110" s="10"/>
      <c r="Q110" s="9"/>
      <c r="R110" s="97"/>
      <c r="S110" s="19"/>
      <c r="T110" s="33"/>
      <c r="U110" s="10"/>
      <c r="V110" s="9"/>
      <c r="W110" s="97">
        <v>37</v>
      </c>
      <c r="X110" s="37"/>
      <c r="Y110" s="10"/>
      <c r="Z110" s="12"/>
      <c r="AA110" s="9"/>
      <c r="AB110" s="97">
        <v>12</v>
      </c>
      <c r="AC110" s="37"/>
      <c r="AD110" s="10"/>
      <c r="AE110" s="12"/>
      <c r="AF110" s="9"/>
      <c r="AG110" s="97">
        <v>9</v>
      </c>
      <c r="AH110" s="147"/>
      <c r="AI110" s="37"/>
      <c r="AJ110" s="10"/>
      <c r="AK110" s="12"/>
      <c r="AL110" s="9"/>
    </row>
    <row r="111" spans="1:38" ht="18" customHeight="1">
      <c r="A111" s="164"/>
      <c r="B111" s="6" t="s">
        <v>18</v>
      </c>
      <c r="C111" s="101">
        <v>28</v>
      </c>
      <c r="D111" s="9"/>
      <c r="E111" s="10"/>
      <c r="F111" s="10"/>
      <c r="G111" s="11"/>
      <c r="H111" s="97">
        <v>28</v>
      </c>
      <c r="I111" s="9"/>
      <c r="J111" s="33"/>
      <c r="K111" s="10"/>
      <c r="L111" s="9"/>
      <c r="M111" s="97">
        <v>33</v>
      </c>
      <c r="N111" s="9"/>
      <c r="O111" s="33"/>
      <c r="P111" s="10"/>
      <c r="Q111" s="9"/>
      <c r="R111" s="97">
        <v>26</v>
      </c>
      <c r="S111" s="19"/>
      <c r="T111" s="33"/>
      <c r="U111" s="10"/>
      <c r="V111" s="9"/>
      <c r="W111" s="97">
        <v>29</v>
      </c>
      <c r="X111" s="19"/>
      <c r="Y111" s="10"/>
      <c r="Z111" s="10"/>
      <c r="AA111" s="9"/>
      <c r="AB111" s="97">
        <v>7</v>
      </c>
      <c r="AC111" s="19"/>
      <c r="AD111" s="10"/>
      <c r="AE111" s="10"/>
      <c r="AF111" s="9"/>
      <c r="AG111" s="97">
        <v>5</v>
      </c>
      <c r="AH111" s="147"/>
      <c r="AI111" s="19"/>
      <c r="AJ111" s="10"/>
      <c r="AK111" s="10"/>
      <c r="AL111" s="9"/>
    </row>
    <row r="112" spans="1:38" s="60" customFormat="1" ht="18" customHeight="1">
      <c r="A112" s="164"/>
      <c r="B112" s="44" t="s">
        <v>19</v>
      </c>
      <c r="C112" s="55">
        <f>SUM(C102:C111)</f>
        <v>102</v>
      </c>
      <c r="D112" s="20"/>
      <c r="E112" s="55"/>
      <c r="F112" s="55"/>
      <c r="G112" s="55"/>
      <c r="H112" s="100">
        <f>SUM(H102:H111)</f>
        <v>91</v>
      </c>
      <c r="I112" s="20"/>
      <c r="J112" s="61"/>
      <c r="K112" s="56"/>
      <c r="L112" s="20"/>
      <c r="M112" s="100">
        <f>SUM(M102:M111)</f>
        <v>99</v>
      </c>
      <c r="N112" s="20"/>
      <c r="O112" s="61"/>
      <c r="P112" s="56"/>
      <c r="Q112" s="20"/>
      <c r="R112" s="100">
        <f>SUM(R102:R111)</f>
        <v>95</v>
      </c>
      <c r="S112" s="20"/>
      <c r="T112" s="61"/>
      <c r="U112" s="56"/>
      <c r="V112" s="20"/>
      <c r="W112" s="100">
        <f>SUM(W102:W111)</f>
        <v>114</v>
      </c>
      <c r="X112" s="20"/>
      <c r="Y112" s="55"/>
      <c r="Z112" s="56"/>
      <c r="AA112" s="20"/>
      <c r="AB112" s="100">
        <f>SUM(AB102:AB111)</f>
        <v>41</v>
      </c>
      <c r="AC112" s="20"/>
      <c r="AD112" s="55"/>
      <c r="AE112" s="56"/>
      <c r="AF112" s="20"/>
      <c r="AG112" s="100">
        <v>33</v>
      </c>
      <c r="AH112" s="149"/>
      <c r="AI112" s="20"/>
      <c r="AJ112" s="55"/>
      <c r="AK112" s="56"/>
      <c r="AL112" s="20"/>
    </row>
    <row r="113" spans="1:38" ht="18" customHeight="1">
      <c r="A113" s="164" t="s">
        <v>27</v>
      </c>
      <c r="B113" s="6" t="s">
        <v>10</v>
      </c>
      <c r="C113" s="101">
        <v>4</v>
      </c>
      <c r="D113" s="37">
        <f>2036.22/4</f>
        <v>509.055</v>
      </c>
      <c r="E113" s="10"/>
      <c r="F113" s="11"/>
      <c r="G113" s="11"/>
      <c r="H113" s="97">
        <v>3</v>
      </c>
      <c r="I113" s="37">
        <f>1500/H113</f>
        <v>500</v>
      </c>
      <c r="J113" s="33"/>
      <c r="K113" s="12"/>
      <c r="L113" s="9"/>
      <c r="M113" s="97">
        <v>2</v>
      </c>
      <c r="N113" s="37">
        <v>398.5</v>
      </c>
      <c r="O113" s="33"/>
      <c r="P113" s="12"/>
      <c r="Q113" s="9"/>
      <c r="R113" s="97">
        <v>4</v>
      </c>
      <c r="S113" s="37">
        <v>314.25</v>
      </c>
      <c r="T113" s="33"/>
      <c r="U113" s="12"/>
      <c r="V113" s="9"/>
      <c r="W113" s="97"/>
      <c r="X113" s="37"/>
      <c r="Y113" s="33"/>
      <c r="Z113" s="12"/>
      <c r="AA113" s="9"/>
      <c r="AB113" s="97"/>
      <c r="AC113" s="37"/>
      <c r="AD113" s="33"/>
      <c r="AE113" s="12"/>
      <c r="AF113" s="9"/>
      <c r="AG113" s="97"/>
      <c r="AH113" s="147"/>
      <c r="AI113" s="37"/>
      <c r="AJ113" s="33"/>
      <c r="AK113" s="12"/>
      <c r="AL113" s="9"/>
    </row>
    <row r="114" spans="1:38" ht="18" customHeight="1">
      <c r="A114" s="164"/>
      <c r="B114" s="6" t="s">
        <v>11</v>
      </c>
      <c r="C114" s="101">
        <v>24</v>
      </c>
      <c r="D114" s="37">
        <f>34521.48/24</f>
        <v>1438.3950000000002</v>
      </c>
      <c r="E114" s="10"/>
      <c r="F114" s="11"/>
      <c r="G114" s="11"/>
      <c r="H114" s="97">
        <v>28</v>
      </c>
      <c r="I114" s="37">
        <f>32645.47/H114</f>
        <v>1165.909642857143</v>
      </c>
      <c r="J114" s="33"/>
      <c r="K114" s="12"/>
      <c r="L114" s="9"/>
      <c r="M114" s="97">
        <v>23</v>
      </c>
      <c r="N114" s="37">
        <v>1729.7121739130434</v>
      </c>
      <c r="O114" s="33"/>
      <c r="P114" s="12"/>
      <c r="Q114" s="9"/>
      <c r="R114" s="97">
        <v>23</v>
      </c>
      <c r="S114" s="37">
        <v>1450</v>
      </c>
      <c r="T114" s="33"/>
      <c r="U114" s="12"/>
      <c r="V114" s="9"/>
      <c r="W114" s="97">
        <v>25</v>
      </c>
      <c r="X114" s="37">
        <v>1584.8555999999996</v>
      </c>
      <c r="Y114" s="33"/>
      <c r="Z114" s="12"/>
      <c r="AA114" s="9"/>
      <c r="AB114" s="97">
        <v>23</v>
      </c>
      <c r="AC114" s="37">
        <f>(29977.59-1632.23)/AB114</f>
        <v>1232.4069565217392</v>
      </c>
      <c r="AD114" s="33"/>
      <c r="AE114" s="12"/>
      <c r="AF114" s="9"/>
      <c r="AG114" s="97">
        <v>32</v>
      </c>
      <c r="AH114" s="147"/>
      <c r="AI114" s="37">
        <v>1261.7534375</v>
      </c>
      <c r="AJ114" s="33"/>
      <c r="AK114" s="12"/>
      <c r="AL114" s="9"/>
    </row>
    <row r="115" spans="1:38" ht="18" customHeight="1">
      <c r="A115" s="164"/>
      <c r="B115" s="6" t="s">
        <v>12</v>
      </c>
      <c r="C115" s="101">
        <v>0</v>
      </c>
      <c r="D115" s="37"/>
      <c r="E115" s="10"/>
      <c r="F115" s="11"/>
      <c r="G115" s="11"/>
      <c r="H115" s="97">
        <v>0</v>
      </c>
      <c r="I115" s="37"/>
      <c r="J115" s="33"/>
      <c r="K115" s="13"/>
      <c r="L115" s="9"/>
      <c r="M115" s="97">
        <v>0</v>
      </c>
      <c r="N115" s="37"/>
      <c r="O115" s="33"/>
      <c r="P115" s="13"/>
      <c r="Q115" s="9"/>
      <c r="R115" s="97">
        <v>0</v>
      </c>
      <c r="S115" s="37">
        <v>0</v>
      </c>
      <c r="T115" s="33"/>
      <c r="U115" s="13"/>
      <c r="V115" s="9"/>
      <c r="W115" s="97"/>
      <c r="X115" s="87"/>
      <c r="Y115" s="33"/>
      <c r="Z115" s="13"/>
      <c r="AA115" s="9"/>
      <c r="AB115" s="97"/>
      <c r="AC115" s="87"/>
      <c r="AD115" s="33"/>
      <c r="AE115" s="13"/>
      <c r="AF115" s="9"/>
      <c r="AG115" s="97"/>
      <c r="AH115" s="147"/>
      <c r="AI115" s="87"/>
      <c r="AJ115" s="33"/>
      <c r="AK115" s="13"/>
      <c r="AL115" s="9"/>
    </row>
    <row r="116" spans="1:38" ht="18" customHeight="1">
      <c r="A116" s="164"/>
      <c r="B116" s="6" t="s">
        <v>13</v>
      </c>
      <c r="C116" s="101">
        <v>1</v>
      </c>
      <c r="D116" s="37">
        <v>473.79</v>
      </c>
      <c r="E116" s="10"/>
      <c r="F116" s="11"/>
      <c r="G116" s="11"/>
      <c r="H116" s="97">
        <v>2</v>
      </c>
      <c r="I116" s="37">
        <v>1125</v>
      </c>
      <c r="J116" s="33"/>
      <c r="K116" s="12"/>
      <c r="L116" s="9"/>
      <c r="M116" s="97">
        <v>1</v>
      </c>
      <c r="N116" s="37">
        <v>660</v>
      </c>
      <c r="O116" s="33"/>
      <c r="P116" s="12"/>
      <c r="Q116" s="9"/>
      <c r="R116" s="97">
        <v>3</v>
      </c>
      <c r="S116" s="37">
        <v>426.6666666666667</v>
      </c>
      <c r="T116" s="33"/>
      <c r="U116" s="12"/>
      <c r="V116" s="9"/>
      <c r="W116" s="87"/>
      <c r="X116" s="87"/>
      <c r="Y116" s="33"/>
      <c r="Z116" s="12"/>
      <c r="AA116" s="9"/>
      <c r="AB116" s="87"/>
      <c r="AC116" s="87"/>
      <c r="AD116" s="33"/>
      <c r="AE116" s="12"/>
      <c r="AF116" s="9"/>
      <c r="AG116" s="87"/>
      <c r="AH116" s="151"/>
      <c r="AI116" s="87"/>
      <c r="AJ116" s="33"/>
      <c r="AK116" s="12"/>
      <c r="AL116" s="9"/>
    </row>
    <row r="117" spans="1:38" ht="18" customHeight="1">
      <c r="A117" s="164"/>
      <c r="B117" s="6" t="s">
        <v>14</v>
      </c>
      <c r="C117" s="101">
        <v>4</v>
      </c>
      <c r="D117" s="37">
        <f>1333.5/4</f>
        <v>333.375</v>
      </c>
      <c r="E117" s="10"/>
      <c r="F117" s="11"/>
      <c r="G117" s="11"/>
      <c r="H117" s="97">
        <v>0</v>
      </c>
      <c r="I117" s="37">
        <v>0</v>
      </c>
      <c r="J117" s="33"/>
      <c r="K117" s="12"/>
      <c r="L117" s="9"/>
      <c r="M117" s="97">
        <v>1</v>
      </c>
      <c r="N117" s="37">
        <v>300</v>
      </c>
      <c r="O117" s="33"/>
      <c r="P117" s="12"/>
      <c r="Q117" s="9"/>
      <c r="R117" s="97">
        <v>1</v>
      </c>
      <c r="S117" s="37">
        <v>300</v>
      </c>
      <c r="T117" s="33"/>
      <c r="U117" s="12"/>
      <c r="V117" s="9"/>
      <c r="W117" s="97">
        <v>1</v>
      </c>
      <c r="X117" s="37">
        <v>2000</v>
      </c>
      <c r="Y117" s="33"/>
      <c r="Z117" s="12"/>
      <c r="AA117" s="9"/>
      <c r="AB117" s="97">
        <v>0</v>
      </c>
      <c r="AC117" s="37"/>
      <c r="AD117" s="33"/>
      <c r="AE117" s="12"/>
      <c r="AF117" s="9"/>
      <c r="AG117" s="97">
        <v>0</v>
      </c>
      <c r="AH117" s="147"/>
      <c r="AI117" s="37"/>
      <c r="AJ117" s="33"/>
      <c r="AK117" s="12"/>
      <c r="AL117" s="9"/>
    </row>
    <row r="118" spans="1:38" ht="18" customHeight="1">
      <c r="A118" s="164"/>
      <c r="B118" s="6" t="s">
        <v>15</v>
      </c>
      <c r="C118" s="101">
        <v>0</v>
      </c>
      <c r="D118" s="37"/>
      <c r="E118" s="10"/>
      <c r="F118" s="11"/>
      <c r="G118" s="11"/>
      <c r="H118" s="97">
        <v>0</v>
      </c>
      <c r="I118" s="37">
        <v>0</v>
      </c>
      <c r="J118" s="33"/>
      <c r="K118" s="12"/>
      <c r="L118" s="9"/>
      <c r="M118" s="97">
        <v>0</v>
      </c>
      <c r="N118" s="37"/>
      <c r="O118" s="33"/>
      <c r="P118" s="12"/>
      <c r="Q118" s="9"/>
      <c r="R118" s="97">
        <v>1</v>
      </c>
      <c r="S118" s="37">
        <v>500</v>
      </c>
      <c r="T118" s="33"/>
      <c r="U118" s="12"/>
      <c r="V118" s="9"/>
      <c r="W118" s="97"/>
      <c r="X118" s="87"/>
      <c r="Y118" s="33"/>
      <c r="Z118" s="12"/>
      <c r="AA118" s="9"/>
      <c r="AB118" s="97"/>
      <c r="AC118" s="87"/>
      <c r="AD118" s="33"/>
      <c r="AE118" s="12"/>
      <c r="AF118" s="9"/>
      <c r="AG118" s="97"/>
      <c r="AH118" s="147"/>
      <c r="AI118" s="87"/>
      <c r="AJ118" s="33"/>
      <c r="AK118" s="12"/>
      <c r="AL118" s="9"/>
    </row>
    <row r="119" spans="1:38" ht="18" customHeight="1">
      <c r="A119" s="164"/>
      <c r="B119" s="6" t="s">
        <v>16</v>
      </c>
      <c r="C119" s="101">
        <v>1</v>
      </c>
      <c r="D119" s="37">
        <v>600</v>
      </c>
      <c r="E119" s="10"/>
      <c r="F119" s="11"/>
      <c r="G119" s="11"/>
      <c r="H119" s="97">
        <v>1</v>
      </c>
      <c r="I119" s="37">
        <v>4030</v>
      </c>
      <c r="J119" s="33"/>
      <c r="K119" s="12"/>
      <c r="L119" s="9"/>
      <c r="M119" s="97">
        <v>1</v>
      </c>
      <c r="N119" s="37">
        <v>182.5</v>
      </c>
      <c r="O119" s="33"/>
      <c r="P119" s="12"/>
      <c r="Q119" s="9"/>
      <c r="R119" s="97">
        <v>3</v>
      </c>
      <c r="S119" s="37">
        <v>472.3333333333333</v>
      </c>
      <c r="T119" s="33"/>
      <c r="U119" s="12"/>
      <c r="V119" s="9"/>
      <c r="W119" s="97">
        <v>4</v>
      </c>
      <c r="X119" s="37">
        <v>140.03</v>
      </c>
      <c r="Y119" s="33"/>
      <c r="Z119" s="12"/>
      <c r="AA119" s="9"/>
      <c r="AB119" s="97">
        <v>3</v>
      </c>
      <c r="AC119" s="37">
        <f>1916/AB119</f>
        <v>638.6666666666666</v>
      </c>
      <c r="AD119" s="33"/>
      <c r="AE119" s="12"/>
      <c r="AF119" s="9"/>
      <c r="AG119" s="97">
        <v>2</v>
      </c>
      <c r="AH119" s="147"/>
      <c r="AI119" s="37">
        <v>100</v>
      </c>
      <c r="AJ119" s="33"/>
      <c r="AK119" s="12"/>
      <c r="AL119" s="9"/>
    </row>
    <row r="120" spans="1:38" ht="18" customHeight="1">
      <c r="A120" s="164"/>
      <c r="B120" s="6" t="s">
        <v>17</v>
      </c>
      <c r="C120" s="101">
        <v>0</v>
      </c>
      <c r="D120" s="37">
        <v>0</v>
      </c>
      <c r="E120" s="10"/>
      <c r="F120" s="11"/>
      <c r="G120" s="11"/>
      <c r="H120" s="97">
        <v>0</v>
      </c>
      <c r="I120" s="37">
        <v>0</v>
      </c>
      <c r="J120" s="33"/>
      <c r="K120" s="12"/>
      <c r="L120" s="9"/>
      <c r="M120" s="97">
        <v>1</v>
      </c>
      <c r="N120" s="37">
        <v>300</v>
      </c>
      <c r="O120" s="33"/>
      <c r="P120" s="12"/>
      <c r="Q120" s="9"/>
      <c r="R120" s="97">
        <v>1</v>
      </c>
      <c r="S120" s="37">
        <v>807</v>
      </c>
      <c r="T120" s="33"/>
      <c r="U120" s="12"/>
      <c r="V120" s="9"/>
      <c r="W120" s="97"/>
      <c r="X120" s="87"/>
      <c r="Y120" s="33"/>
      <c r="Z120" s="12"/>
      <c r="AA120" s="9"/>
      <c r="AB120" s="97"/>
      <c r="AC120" s="87"/>
      <c r="AD120" s="33"/>
      <c r="AE120" s="12"/>
      <c r="AF120" s="9"/>
      <c r="AG120" s="97"/>
      <c r="AH120" s="147"/>
      <c r="AI120" s="87"/>
      <c r="AJ120" s="33"/>
      <c r="AK120" s="12"/>
      <c r="AL120" s="9"/>
    </row>
    <row r="121" spans="1:38" ht="18" customHeight="1">
      <c r="A121" s="164"/>
      <c r="B121" s="6" t="s">
        <v>90</v>
      </c>
      <c r="C121" s="101"/>
      <c r="D121" s="37"/>
      <c r="E121" s="10"/>
      <c r="F121" s="11"/>
      <c r="G121" s="11"/>
      <c r="H121" s="97"/>
      <c r="I121" s="37"/>
      <c r="J121" s="33"/>
      <c r="K121" s="12"/>
      <c r="L121" s="9"/>
      <c r="M121" s="97"/>
      <c r="N121" s="37"/>
      <c r="O121" s="33"/>
      <c r="P121" s="12"/>
      <c r="Q121" s="9"/>
      <c r="R121" s="97"/>
      <c r="S121" s="37"/>
      <c r="T121" s="33"/>
      <c r="U121" s="12"/>
      <c r="V121" s="9"/>
      <c r="W121" s="97">
        <v>6</v>
      </c>
      <c r="X121" s="37">
        <v>416.3533333333333</v>
      </c>
      <c r="Y121" s="33"/>
      <c r="Z121" s="12"/>
      <c r="AA121" s="9"/>
      <c r="AB121" s="97">
        <v>7</v>
      </c>
      <c r="AC121" s="37">
        <f>1901/AB121</f>
        <v>271.57142857142856</v>
      </c>
      <c r="AD121" s="33"/>
      <c r="AE121" s="12"/>
      <c r="AF121" s="9"/>
      <c r="AG121" s="97">
        <v>6</v>
      </c>
      <c r="AH121" s="147"/>
      <c r="AI121" s="37">
        <v>360.5416666666667</v>
      </c>
      <c r="AJ121" s="33"/>
      <c r="AK121" s="12"/>
      <c r="AL121" s="9"/>
    </row>
    <row r="122" spans="1:38" ht="18" customHeight="1">
      <c r="A122" s="164"/>
      <c r="B122" s="6" t="s">
        <v>18</v>
      </c>
      <c r="C122" s="101">
        <v>8</v>
      </c>
      <c r="D122" s="37">
        <f>7647.12/8</f>
        <v>955.89</v>
      </c>
      <c r="E122" s="10"/>
      <c r="F122" s="11"/>
      <c r="G122" s="11"/>
      <c r="H122" s="97">
        <v>9</v>
      </c>
      <c r="I122" s="37">
        <f>10056.81/9</f>
        <v>1117.4233333333332</v>
      </c>
      <c r="J122" s="33"/>
      <c r="K122" s="12"/>
      <c r="L122" s="9"/>
      <c r="M122" s="97">
        <v>4</v>
      </c>
      <c r="N122" s="37">
        <v>1925</v>
      </c>
      <c r="O122" s="33"/>
      <c r="P122" s="12"/>
      <c r="Q122" s="9"/>
      <c r="R122" s="97">
        <v>7</v>
      </c>
      <c r="S122" s="37">
        <v>1128.5714285714287</v>
      </c>
      <c r="T122" s="33"/>
      <c r="U122" s="12"/>
      <c r="V122" s="9"/>
      <c r="W122" s="97">
        <v>9</v>
      </c>
      <c r="X122" s="37">
        <v>495.3333333333333</v>
      </c>
      <c r="Y122" s="33"/>
      <c r="Z122" s="12"/>
      <c r="AA122" s="9"/>
      <c r="AB122" s="97">
        <v>0</v>
      </c>
      <c r="AC122" s="37"/>
      <c r="AD122" s="33"/>
      <c r="AE122" s="12"/>
      <c r="AF122" s="9"/>
      <c r="AG122" s="97">
        <v>4</v>
      </c>
      <c r="AH122" s="147"/>
      <c r="AI122" s="37">
        <v>466.4425</v>
      </c>
      <c r="AJ122" s="33"/>
      <c r="AK122" s="12"/>
      <c r="AL122" s="9"/>
    </row>
    <row r="123" spans="1:38" s="60" customFormat="1" ht="18" customHeight="1">
      <c r="A123" s="164"/>
      <c r="B123" s="44" t="s">
        <v>19</v>
      </c>
      <c r="C123" s="55">
        <f>SUM(C113:C122)</f>
        <v>42</v>
      </c>
      <c r="D123" s="20">
        <f>46612/C123</f>
        <v>1109.8095238095239</v>
      </c>
      <c r="E123" s="55"/>
      <c r="F123" s="55"/>
      <c r="G123" s="55"/>
      <c r="H123" s="100">
        <f>SUM(H113:H122)</f>
        <v>43</v>
      </c>
      <c r="I123" s="20">
        <f>50482.28/H123</f>
        <v>1174.006511627907</v>
      </c>
      <c r="J123" s="61"/>
      <c r="K123" s="56"/>
      <c r="L123" s="20"/>
      <c r="M123" s="100">
        <f>SUM(M113:M122)</f>
        <v>33</v>
      </c>
      <c r="N123" s="20">
        <f>49722.88/M123</f>
        <v>1506.7539393939394</v>
      </c>
      <c r="O123" s="61"/>
      <c r="P123" s="56"/>
      <c r="Q123" s="20"/>
      <c r="R123" s="100">
        <f>SUM(R113:R122)</f>
        <v>43</v>
      </c>
      <c r="S123" s="20">
        <v>1088.6</v>
      </c>
      <c r="T123" s="61"/>
      <c r="U123" s="56"/>
      <c r="V123" s="20"/>
      <c r="W123" s="100">
        <f>SUM(W113:W122)</f>
        <v>45</v>
      </c>
      <c r="X123" s="20">
        <v>1091.9473333333333</v>
      </c>
      <c r="Y123" s="61"/>
      <c r="Z123" s="56"/>
      <c r="AA123" s="20"/>
      <c r="AB123" s="100">
        <f>SUM(AB113:AB122)</f>
        <v>33</v>
      </c>
      <c r="AC123" s="20">
        <f>(35797.32-1001.36-1001.37-1632.23)/AB123</f>
        <v>974.6169696969696</v>
      </c>
      <c r="AD123" s="61"/>
      <c r="AE123" s="56"/>
      <c r="AF123" s="20"/>
      <c r="AG123" s="100">
        <v>44</v>
      </c>
      <c r="AH123" s="149"/>
      <c r="AI123" s="20">
        <f>45603/AG123</f>
        <v>1036.4318181818182</v>
      </c>
      <c r="AJ123" s="61"/>
      <c r="AK123" s="56"/>
      <c r="AL123" s="20"/>
    </row>
    <row r="124" spans="1:38" ht="18" customHeight="1">
      <c r="A124" s="164" t="s">
        <v>63</v>
      </c>
      <c r="B124" s="6" t="s">
        <v>10</v>
      </c>
      <c r="C124" s="10">
        <v>4</v>
      </c>
      <c r="D124" s="37">
        <f>13944.08/C124</f>
        <v>3486.02</v>
      </c>
      <c r="E124" s="91"/>
      <c r="F124" s="11"/>
      <c r="G124" s="11"/>
      <c r="H124" s="97">
        <v>3</v>
      </c>
      <c r="I124" s="37">
        <f>7612/H124</f>
        <v>2537.3333333333335</v>
      </c>
      <c r="J124" s="88"/>
      <c r="K124" s="12"/>
      <c r="L124" s="9"/>
      <c r="M124" s="97">
        <v>4</v>
      </c>
      <c r="N124" s="37">
        <v>3366.1225</v>
      </c>
      <c r="O124" s="88"/>
      <c r="P124" s="12"/>
      <c r="Q124" s="9"/>
      <c r="R124" s="97">
        <v>6</v>
      </c>
      <c r="S124" s="37">
        <v>2369.605</v>
      </c>
      <c r="T124" s="88"/>
      <c r="U124" s="12"/>
      <c r="V124" s="9"/>
      <c r="W124" s="97"/>
      <c r="X124" s="37"/>
      <c r="Y124" s="88"/>
      <c r="Z124" s="12"/>
      <c r="AA124" s="9"/>
      <c r="AB124" s="97"/>
      <c r="AC124" s="37"/>
      <c r="AD124" s="88"/>
      <c r="AE124" s="12"/>
      <c r="AF124" s="9"/>
      <c r="AG124" s="97"/>
      <c r="AH124" s="147"/>
      <c r="AI124" s="37"/>
      <c r="AJ124" s="88"/>
      <c r="AK124" s="12"/>
      <c r="AL124" s="9"/>
    </row>
    <row r="125" spans="1:38" ht="18" customHeight="1">
      <c r="A125" s="164"/>
      <c r="B125" s="6" t="s">
        <v>11</v>
      </c>
      <c r="C125" s="10">
        <v>32</v>
      </c>
      <c r="D125" s="37">
        <f>200232.03/C125</f>
        <v>6257.2509375</v>
      </c>
      <c r="E125" s="36"/>
      <c r="F125" s="11"/>
      <c r="G125" s="11"/>
      <c r="H125" s="97">
        <v>28</v>
      </c>
      <c r="I125" s="37">
        <f>136870.67/28</f>
        <v>4888.238214285715</v>
      </c>
      <c r="J125" s="29"/>
      <c r="K125" s="12"/>
      <c r="L125" s="9"/>
      <c r="M125" s="97">
        <v>31</v>
      </c>
      <c r="N125" s="37">
        <v>3754.71935483871</v>
      </c>
      <c r="O125" s="88"/>
      <c r="P125" s="12"/>
      <c r="Q125" s="9"/>
      <c r="R125" s="97">
        <v>27</v>
      </c>
      <c r="S125" s="37">
        <v>3387.859481481482</v>
      </c>
      <c r="T125" s="88"/>
      <c r="U125" s="12"/>
      <c r="V125" s="9"/>
      <c r="W125" s="97">
        <v>19</v>
      </c>
      <c r="X125" s="37">
        <v>3660.5377368421055</v>
      </c>
      <c r="Y125" s="88"/>
      <c r="Z125" s="12"/>
      <c r="AA125" s="9"/>
      <c r="AB125" s="97">
        <v>18</v>
      </c>
      <c r="AC125" s="37">
        <f>90451.39/AB125</f>
        <v>5025.077222222222</v>
      </c>
      <c r="AD125" s="88"/>
      <c r="AE125" s="12"/>
      <c r="AF125" s="9"/>
      <c r="AG125" s="97">
        <v>18</v>
      </c>
      <c r="AH125" s="147"/>
      <c r="AI125" s="37">
        <v>3833.8372222222224</v>
      </c>
      <c r="AJ125" s="88"/>
      <c r="AK125" s="12"/>
      <c r="AL125" s="9"/>
    </row>
    <row r="126" spans="1:38" ht="18" customHeight="1">
      <c r="A126" s="164"/>
      <c r="B126" s="6" t="s">
        <v>12</v>
      </c>
      <c r="C126" s="10">
        <v>4</v>
      </c>
      <c r="D126" s="37">
        <f>36682.45/C126</f>
        <v>9170.6125</v>
      </c>
      <c r="E126" s="36"/>
      <c r="F126" s="11"/>
      <c r="G126" s="11"/>
      <c r="H126" s="97">
        <v>5</v>
      </c>
      <c r="I126" s="37">
        <f>8699.94/5</f>
        <v>1739.988</v>
      </c>
      <c r="J126" s="29"/>
      <c r="K126" s="12"/>
      <c r="L126" s="9"/>
      <c r="M126" s="97">
        <v>0</v>
      </c>
      <c r="N126" s="37"/>
      <c r="O126" s="88"/>
      <c r="P126" s="12"/>
      <c r="Q126" s="9"/>
      <c r="R126" s="97">
        <v>0</v>
      </c>
      <c r="S126" s="37">
        <v>0</v>
      </c>
      <c r="T126" s="88"/>
      <c r="U126" s="12"/>
      <c r="V126" s="9"/>
      <c r="W126" s="97"/>
      <c r="X126" s="87"/>
      <c r="Y126" s="88"/>
      <c r="Z126" s="12"/>
      <c r="AA126" s="9"/>
      <c r="AB126" s="97"/>
      <c r="AC126" s="87"/>
      <c r="AD126" s="88"/>
      <c r="AE126" s="12"/>
      <c r="AF126" s="9"/>
      <c r="AG126" s="97"/>
      <c r="AH126" s="147"/>
      <c r="AI126" s="87"/>
      <c r="AJ126" s="88"/>
      <c r="AK126" s="12"/>
      <c r="AL126" s="9"/>
    </row>
    <row r="127" spans="1:38" ht="18" customHeight="1">
      <c r="A127" s="164"/>
      <c r="B127" s="6" t="s">
        <v>13</v>
      </c>
      <c r="C127" s="10">
        <v>3</v>
      </c>
      <c r="D127" s="37">
        <f>28184.62/C127</f>
        <v>9394.873333333333</v>
      </c>
      <c r="E127" s="36"/>
      <c r="F127" s="11"/>
      <c r="G127" s="11"/>
      <c r="H127" s="97">
        <v>2</v>
      </c>
      <c r="I127" s="37">
        <f>1219.34/2</f>
        <v>609.67</v>
      </c>
      <c r="J127" s="29"/>
      <c r="K127" s="12"/>
      <c r="L127" s="9"/>
      <c r="M127" s="97">
        <v>1</v>
      </c>
      <c r="N127" s="37">
        <v>914.64</v>
      </c>
      <c r="O127" s="88"/>
      <c r="P127" s="12"/>
      <c r="Q127" s="9"/>
      <c r="R127" s="97">
        <v>3</v>
      </c>
      <c r="S127" s="37">
        <v>2027.4466666666667</v>
      </c>
      <c r="T127" s="88"/>
      <c r="U127" s="12"/>
      <c r="V127" s="9"/>
      <c r="W127" s="97"/>
      <c r="X127" s="87"/>
      <c r="Y127" s="88"/>
      <c r="Z127" s="12"/>
      <c r="AA127" s="9"/>
      <c r="AB127" s="97"/>
      <c r="AC127" s="87"/>
      <c r="AD127" s="88"/>
      <c r="AE127" s="12"/>
      <c r="AF127" s="9"/>
      <c r="AG127" s="97"/>
      <c r="AH127" s="147"/>
      <c r="AI127" s="87"/>
      <c r="AJ127" s="88"/>
      <c r="AK127" s="12"/>
      <c r="AL127" s="9"/>
    </row>
    <row r="128" spans="1:38" ht="18" customHeight="1">
      <c r="A128" s="164"/>
      <c r="B128" s="6" t="s">
        <v>14</v>
      </c>
      <c r="C128" s="10"/>
      <c r="D128" s="37"/>
      <c r="E128" s="36"/>
      <c r="F128" s="11"/>
      <c r="G128" s="11"/>
      <c r="H128" s="97"/>
      <c r="I128" s="37"/>
      <c r="J128" s="29"/>
      <c r="K128" s="12"/>
      <c r="L128" s="9"/>
      <c r="M128" s="97">
        <v>1</v>
      </c>
      <c r="N128" s="37">
        <v>5320.85</v>
      </c>
      <c r="O128" s="88"/>
      <c r="P128" s="12"/>
      <c r="Q128" s="9"/>
      <c r="R128" s="97">
        <v>2</v>
      </c>
      <c r="S128" s="37">
        <v>3040.0672</v>
      </c>
      <c r="T128" s="88"/>
      <c r="U128" s="12"/>
      <c r="V128" s="9"/>
      <c r="W128" s="97">
        <v>4</v>
      </c>
      <c r="X128" s="37">
        <v>929.175</v>
      </c>
      <c r="Y128" s="88"/>
      <c r="Z128" s="12"/>
      <c r="AA128" s="9"/>
      <c r="AB128" s="97">
        <v>3</v>
      </c>
      <c r="AC128" s="37">
        <f>18274.82/AB128</f>
        <v>6091.606666666667</v>
      </c>
      <c r="AD128" s="88"/>
      <c r="AE128" s="12"/>
      <c r="AF128" s="9"/>
      <c r="AG128" s="97">
        <v>8</v>
      </c>
      <c r="AH128" s="147"/>
      <c r="AI128" s="37">
        <v>4131.78</v>
      </c>
      <c r="AJ128" s="88"/>
      <c r="AK128" s="12"/>
      <c r="AL128" s="9"/>
    </row>
    <row r="129" spans="1:38" ht="18" customHeight="1">
      <c r="A129" s="164"/>
      <c r="B129" s="6" t="s">
        <v>15</v>
      </c>
      <c r="C129" s="10"/>
      <c r="D129" s="37"/>
      <c r="E129" s="36"/>
      <c r="F129" s="11"/>
      <c r="G129" s="11"/>
      <c r="H129" s="97"/>
      <c r="I129" s="37"/>
      <c r="J129" s="29"/>
      <c r="K129" s="12"/>
      <c r="L129" s="9"/>
      <c r="M129" s="97">
        <v>1</v>
      </c>
      <c r="N129" s="37">
        <v>0</v>
      </c>
      <c r="O129" s="88"/>
      <c r="P129" s="12"/>
      <c r="Q129" s="9"/>
      <c r="R129" s="97">
        <v>1</v>
      </c>
      <c r="S129" s="37">
        <v>417.68</v>
      </c>
      <c r="T129" s="88"/>
      <c r="U129" s="12"/>
      <c r="V129" s="9"/>
      <c r="W129" s="97"/>
      <c r="X129" s="87"/>
      <c r="Y129" s="88"/>
      <c r="Z129" s="12"/>
      <c r="AA129" s="9"/>
      <c r="AB129" s="97"/>
      <c r="AC129" s="87"/>
      <c r="AD129" s="88"/>
      <c r="AE129" s="12"/>
      <c r="AF129" s="9"/>
      <c r="AG129" s="97"/>
      <c r="AH129" s="147"/>
      <c r="AI129" s="87"/>
      <c r="AJ129" s="88"/>
      <c r="AK129" s="12"/>
      <c r="AL129" s="9"/>
    </row>
    <row r="130" spans="1:38" ht="18" customHeight="1">
      <c r="A130" s="164"/>
      <c r="B130" s="6" t="s">
        <v>16</v>
      </c>
      <c r="C130" s="10">
        <v>6</v>
      </c>
      <c r="D130" s="37">
        <f>45280.56/C130</f>
        <v>7546.759999999999</v>
      </c>
      <c r="E130" s="36"/>
      <c r="F130" s="11"/>
      <c r="G130" s="11"/>
      <c r="H130" s="97">
        <v>12</v>
      </c>
      <c r="I130" s="37">
        <f>37378.23/12</f>
        <v>3114.8525000000004</v>
      </c>
      <c r="J130" s="29"/>
      <c r="K130" s="12"/>
      <c r="L130" s="9"/>
      <c r="M130" s="97">
        <v>9</v>
      </c>
      <c r="N130" s="37">
        <v>3338.587777777778</v>
      </c>
      <c r="O130" s="88"/>
      <c r="P130" s="12"/>
      <c r="Q130" s="9"/>
      <c r="R130" s="97">
        <v>8</v>
      </c>
      <c r="S130" s="37">
        <v>2149.728</v>
      </c>
      <c r="T130" s="88"/>
      <c r="U130" s="12"/>
      <c r="V130" s="9"/>
      <c r="W130" s="97">
        <v>7</v>
      </c>
      <c r="X130" s="37">
        <v>1763.3171428571427</v>
      </c>
      <c r="Y130" s="88"/>
      <c r="Z130" s="12"/>
      <c r="AA130" s="9"/>
      <c r="AB130" s="97">
        <v>6</v>
      </c>
      <c r="AC130" s="37">
        <f>18874.41/AB130</f>
        <v>3145.735</v>
      </c>
      <c r="AD130" s="88"/>
      <c r="AE130" s="12"/>
      <c r="AF130" s="9"/>
      <c r="AG130" s="97">
        <v>4</v>
      </c>
      <c r="AH130" s="147"/>
      <c r="AI130" s="37">
        <v>3307.015</v>
      </c>
      <c r="AJ130" s="88"/>
      <c r="AK130" s="12"/>
      <c r="AL130" s="9"/>
    </row>
    <row r="131" spans="1:38" ht="18" customHeight="1">
      <c r="A131" s="164"/>
      <c r="B131" s="6" t="s">
        <v>17</v>
      </c>
      <c r="C131" s="10">
        <v>1</v>
      </c>
      <c r="D131" s="37">
        <f>11026.95/C131</f>
        <v>11026.95</v>
      </c>
      <c r="E131" s="36"/>
      <c r="F131" s="11"/>
      <c r="G131" s="11"/>
      <c r="H131" s="97">
        <v>2</v>
      </c>
      <c r="I131" s="37">
        <f>6444.63/2</f>
        <v>3222.315</v>
      </c>
      <c r="J131" s="29"/>
      <c r="K131" s="12"/>
      <c r="L131" s="9"/>
      <c r="M131" s="97">
        <v>2</v>
      </c>
      <c r="N131" s="37">
        <v>2343.1</v>
      </c>
      <c r="O131" s="88"/>
      <c r="P131" s="12"/>
      <c r="Q131" s="9"/>
      <c r="R131" s="97">
        <v>2</v>
      </c>
      <c r="S131" s="37">
        <v>2578.785</v>
      </c>
      <c r="T131" s="88"/>
      <c r="U131" s="12"/>
      <c r="V131" s="9"/>
      <c r="W131" s="97"/>
      <c r="X131" s="87"/>
      <c r="Y131" s="88"/>
      <c r="Z131" s="12"/>
      <c r="AA131" s="9"/>
      <c r="AB131" s="97"/>
      <c r="AC131" s="87"/>
      <c r="AD131" s="88"/>
      <c r="AE131" s="12"/>
      <c r="AF131" s="9"/>
      <c r="AG131" s="97"/>
      <c r="AH131" s="147"/>
      <c r="AI131" s="87"/>
      <c r="AJ131" s="88"/>
      <c r="AK131" s="12"/>
      <c r="AL131" s="9"/>
    </row>
    <row r="132" spans="1:38" ht="18" customHeight="1">
      <c r="A132" s="164"/>
      <c r="B132" s="6" t="s">
        <v>90</v>
      </c>
      <c r="C132" s="10"/>
      <c r="D132" s="37"/>
      <c r="E132" s="36"/>
      <c r="F132" s="11"/>
      <c r="G132" s="11"/>
      <c r="H132" s="97"/>
      <c r="I132" s="37"/>
      <c r="J132" s="29"/>
      <c r="K132" s="12"/>
      <c r="L132" s="9"/>
      <c r="M132" s="97"/>
      <c r="N132" s="37"/>
      <c r="O132" s="88"/>
      <c r="P132" s="12"/>
      <c r="Q132" s="9"/>
      <c r="R132" s="97"/>
      <c r="S132" s="37"/>
      <c r="T132" s="88"/>
      <c r="U132" s="12"/>
      <c r="V132" s="9"/>
      <c r="W132" s="97">
        <v>13</v>
      </c>
      <c r="X132" s="37">
        <v>2557.26</v>
      </c>
      <c r="Y132" s="33"/>
      <c r="Z132" s="12"/>
      <c r="AA132" s="9"/>
      <c r="AB132" s="97">
        <v>16</v>
      </c>
      <c r="AC132" s="37">
        <f>48643.02/AB132</f>
        <v>3040.18875</v>
      </c>
      <c r="AD132" s="33"/>
      <c r="AE132" s="12"/>
      <c r="AF132" s="9"/>
      <c r="AG132" s="97">
        <v>16</v>
      </c>
      <c r="AH132" s="147"/>
      <c r="AI132" s="37">
        <v>3775.294375</v>
      </c>
      <c r="AJ132" s="33"/>
      <c r="AK132" s="12"/>
      <c r="AL132" s="9"/>
    </row>
    <row r="133" spans="1:38" ht="18" customHeight="1">
      <c r="A133" s="164"/>
      <c r="B133" s="6" t="s">
        <v>18</v>
      </c>
      <c r="C133" s="10">
        <v>10</v>
      </c>
      <c r="D133" s="37">
        <f>43234.06/C133</f>
        <v>4323.406</v>
      </c>
      <c r="E133" s="36"/>
      <c r="F133" s="11"/>
      <c r="G133" s="11"/>
      <c r="H133" s="97">
        <v>12</v>
      </c>
      <c r="I133" s="37">
        <f>35461.33/12</f>
        <v>2955.1108333333336</v>
      </c>
      <c r="J133" s="29"/>
      <c r="K133" s="12"/>
      <c r="L133" s="9"/>
      <c r="M133" s="97">
        <v>11</v>
      </c>
      <c r="N133" s="37">
        <v>2747.19</v>
      </c>
      <c r="O133" s="88"/>
      <c r="P133" s="12"/>
      <c r="Q133" s="9"/>
      <c r="R133" s="97">
        <v>7</v>
      </c>
      <c r="S133" s="37">
        <v>3025.79</v>
      </c>
      <c r="T133" s="88"/>
      <c r="U133" s="12"/>
      <c r="V133" s="9"/>
      <c r="W133" s="97">
        <v>8</v>
      </c>
      <c r="X133" s="37">
        <v>2070.302</v>
      </c>
      <c r="Y133" s="88"/>
      <c r="Z133" s="12"/>
      <c r="AA133" s="9"/>
      <c r="AB133" s="97">
        <v>7</v>
      </c>
      <c r="AC133" s="37">
        <f>25794.76/AB133</f>
        <v>3684.965714285714</v>
      </c>
      <c r="AD133" s="88"/>
      <c r="AE133" s="12"/>
      <c r="AF133" s="9"/>
      <c r="AG133" s="97">
        <v>7</v>
      </c>
      <c r="AH133" s="147"/>
      <c r="AI133" s="37">
        <v>4844.614285714286</v>
      </c>
      <c r="AJ133" s="88"/>
      <c r="AK133" s="12"/>
      <c r="AL133" s="9"/>
    </row>
    <row r="134" spans="1:38" s="60" customFormat="1" ht="18" customHeight="1">
      <c r="A134" s="164"/>
      <c r="B134" s="44" t="s">
        <v>19</v>
      </c>
      <c r="C134" s="55">
        <f>SUM(C124:C133)</f>
        <v>60</v>
      </c>
      <c r="D134" s="20">
        <f>378584.75/C134</f>
        <v>6309.745833333333</v>
      </c>
      <c r="E134" s="55"/>
      <c r="F134" s="55"/>
      <c r="G134" s="55"/>
      <c r="H134" s="100">
        <f>SUM(H124:H133)</f>
        <v>64</v>
      </c>
      <c r="I134" s="20">
        <f>233686.14/H134</f>
        <v>3651.3459375</v>
      </c>
      <c r="J134" s="61"/>
      <c r="K134" s="56"/>
      <c r="L134" s="20"/>
      <c r="M134" s="100">
        <f>SUM(M124:M133)</f>
        <v>60</v>
      </c>
      <c r="N134" s="20">
        <f>201048.86/M134</f>
        <v>3350.8143333333333</v>
      </c>
      <c r="O134" s="61"/>
      <c r="P134" s="56"/>
      <c r="Q134" s="20"/>
      <c r="R134" s="100">
        <f>SUM(R124:R133)</f>
        <v>56</v>
      </c>
      <c r="S134" s="20">
        <v>2889.391328571429</v>
      </c>
      <c r="T134" s="61"/>
      <c r="U134" s="56"/>
      <c r="V134" s="20"/>
      <c r="W134" s="100">
        <f>SUM(W124:W133)</f>
        <v>51</v>
      </c>
      <c r="X134" s="20">
        <v>2655.233980392157</v>
      </c>
      <c r="Y134" s="61"/>
      <c r="Z134" s="56"/>
      <c r="AA134" s="20"/>
      <c r="AB134" s="100">
        <f>SUM(AB124:AB133)</f>
        <v>50</v>
      </c>
      <c r="AC134" s="20">
        <f>202038.4/AB134</f>
        <v>4040.768</v>
      </c>
      <c r="AD134" s="61"/>
      <c r="AE134" s="56"/>
      <c r="AF134" s="20"/>
      <c r="AG134" s="100">
        <v>53</v>
      </c>
      <c r="AH134" s="149"/>
      <c r="AI134" s="20">
        <v>3954.8750943396226</v>
      </c>
      <c r="AJ134" s="61"/>
      <c r="AK134" s="56"/>
      <c r="AL134" s="20"/>
    </row>
    <row r="135" spans="1:38" ht="18" customHeight="1">
      <c r="A135" s="164" t="s">
        <v>8</v>
      </c>
      <c r="B135" s="6" t="s">
        <v>10</v>
      </c>
      <c r="C135" s="36">
        <v>0</v>
      </c>
      <c r="D135" s="9"/>
      <c r="E135" s="10"/>
      <c r="F135" s="11"/>
      <c r="G135" s="11"/>
      <c r="H135" s="97">
        <v>0</v>
      </c>
      <c r="I135" s="9"/>
      <c r="J135" s="33"/>
      <c r="K135" s="12"/>
      <c r="L135" s="9"/>
      <c r="M135" s="98">
        <v>0</v>
      </c>
      <c r="N135" s="9"/>
      <c r="O135" s="33"/>
      <c r="P135" s="12"/>
      <c r="Q135" s="9"/>
      <c r="R135" s="98">
        <v>1</v>
      </c>
      <c r="S135" s="19"/>
      <c r="T135" s="33"/>
      <c r="U135" s="12"/>
      <c r="V135" s="9"/>
      <c r="W135" s="98"/>
      <c r="X135" s="19"/>
      <c r="Y135" s="33"/>
      <c r="Z135" s="12"/>
      <c r="AA135" s="9"/>
      <c r="AB135" s="98"/>
      <c r="AC135" s="19"/>
      <c r="AD135" s="33"/>
      <c r="AE135" s="12"/>
      <c r="AF135" s="9"/>
      <c r="AG135" s="98"/>
      <c r="AH135" s="148"/>
      <c r="AI135" s="19"/>
      <c r="AJ135" s="33"/>
      <c r="AK135" s="12"/>
      <c r="AL135" s="9"/>
    </row>
    <row r="136" spans="1:38" ht="18" customHeight="1">
      <c r="A136" s="164"/>
      <c r="B136" s="6" t="s">
        <v>11</v>
      </c>
      <c r="C136" s="10">
        <v>10</v>
      </c>
      <c r="D136" s="9"/>
      <c r="E136" s="10"/>
      <c r="F136" s="11"/>
      <c r="G136" s="11"/>
      <c r="H136" s="97">
        <v>2</v>
      </c>
      <c r="I136" s="9"/>
      <c r="J136" s="33"/>
      <c r="K136" s="12"/>
      <c r="L136" s="9"/>
      <c r="M136" s="97">
        <v>2</v>
      </c>
      <c r="N136" s="9"/>
      <c r="O136" s="33"/>
      <c r="P136" s="12"/>
      <c r="Q136" s="9"/>
      <c r="R136" s="97">
        <v>0</v>
      </c>
      <c r="S136" s="19"/>
      <c r="T136" s="33"/>
      <c r="U136" s="12"/>
      <c r="V136" s="9"/>
      <c r="W136" s="97">
        <v>9</v>
      </c>
      <c r="X136" s="19"/>
      <c r="Y136" s="33"/>
      <c r="Z136" s="12"/>
      <c r="AA136" s="9"/>
      <c r="AB136" s="97">
        <v>11</v>
      </c>
      <c r="AC136" s="19"/>
      <c r="AD136" s="33"/>
      <c r="AE136" s="12"/>
      <c r="AF136" s="9"/>
      <c r="AG136" s="97">
        <v>3</v>
      </c>
      <c r="AH136" s="147"/>
      <c r="AI136" s="19"/>
      <c r="AJ136" s="33"/>
      <c r="AK136" s="12"/>
      <c r="AL136" s="9"/>
    </row>
    <row r="137" spans="1:38" ht="18" customHeight="1">
      <c r="A137" s="164"/>
      <c r="B137" s="6" t="s">
        <v>12</v>
      </c>
      <c r="C137" s="10">
        <v>1</v>
      </c>
      <c r="D137" s="9"/>
      <c r="E137" s="10"/>
      <c r="F137" s="11"/>
      <c r="G137" s="11"/>
      <c r="H137" s="97">
        <v>0</v>
      </c>
      <c r="I137" s="9"/>
      <c r="J137" s="33"/>
      <c r="K137" s="13"/>
      <c r="L137" s="9"/>
      <c r="M137" s="97">
        <v>0</v>
      </c>
      <c r="N137" s="9"/>
      <c r="O137" s="33"/>
      <c r="P137" s="13"/>
      <c r="Q137" s="9"/>
      <c r="R137" s="97">
        <v>0</v>
      </c>
      <c r="S137" s="19"/>
      <c r="T137" s="33"/>
      <c r="U137" s="13"/>
      <c r="V137" s="9"/>
      <c r="W137" s="97"/>
      <c r="X137" s="19"/>
      <c r="Y137" s="33"/>
      <c r="Z137" s="13"/>
      <c r="AA137" s="9"/>
      <c r="AB137" s="97"/>
      <c r="AC137" s="19"/>
      <c r="AD137" s="33"/>
      <c r="AE137" s="13"/>
      <c r="AF137" s="9"/>
      <c r="AG137" s="97"/>
      <c r="AH137" s="147"/>
      <c r="AI137" s="19"/>
      <c r="AJ137" s="33"/>
      <c r="AK137" s="13"/>
      <c r="AL137" s="9"/>
    </row>
    <row r="138" spans="1:38" ht="18" customHeight="1">
      <c r="A138" s="164"/>
      <c r="B138" s="6" t="s">
        <v>13</v>
      </c>
      <c r="C138" s="10"/>
      <c r="D138" s="9"/>
      <c r="E138" s="72"/>
      <c r="F138" s="11"/>
      <c r="G138" s="11"/>
      <c r="H138" s="97">
        <v>0</v>
      </c>
      <c r="I138" s="9"/>
      <c r="J138" s="33"/>
      <c r="K138" s="12"/>
      <c r="L138" s="9"/>
      <c r="M138" s="97">
        <v>0</v>
      </c>
      <c r="N138" s="9"/>
      <c r="O138" s="33"/>
      <c r="P138" s="12"/>
      <c r="Q138" s="9"/>
      <c r="R138" s="97">
        <v>0</v>
      </c>
      <c r="S138" s="19"/>
      <c r="T138" s="33"/>
      <c r="U138" s="12"/>
      <c r="V138" s="9"/>
      <c r="W138" s="97"/>
      <c r="X138" s="19"/>
      <c r="Y138" s="33"/>
      <c r="Z138" s="12"/>
      <c r="AA138" s="9"/>
      <c r="AB138" s="97"/>
      <c r="AC138" s="19"/>
      <c r="AD138" s="33"/>
      <c r="AE138" s="12"/>
      <c r="AF138" s="9"/>
      <c r="AG138" s="97"/>
      <c r="AH138" s="147"/>
      <c r="AI138" s="19"/>
      <c r="AJ138" s="33"/>
      <c r="AK138" s="12"/>
      <c r="AL138" s="9"/>
    </row>
    <row r="139" spans="1:38" ht="18" customHeight="1">
      <c r="A139" s="164"/>
      <c r="B139" s="6" t="s">
        <v>14</v>
      </c>
      <c r="C139" s="10">
        <v>1</v>
      </c>
      <c r="D139" s="9"/>
      <c r="E139" s="10"/>
      <c r="F139" s="11"/>
      <c r="G139" s="11"/>
      <c r="H139" s="97">
        <v>0</v>
      </c>
      <c r="I139" s="9"/>
      <c r="J139" s="33"/>
      <c r="K139" s="12"/>
      <c r="L139" s="9"/>
      <c r="M139" s="97">
        <v>1</v>
      </c>
      <c r="N139" s="9"/>
      <c r="O139" s="33"/>
      <c r="P139" s="12"/>
      <c r="Q139" s="9"/>
      <c r="R139" s="97">
        <v>1</v>
      </c>
      <c r="S139" s="19"/>
      <c r="T139" s="33"/>
      <c r="U139" s="12"/>
      <c r="V139" s="9"/>
      <c r="W139" s="97">
        <v>3</v>
      </c>
      <c r="X139" s="19"/>
      <c r="Y139" s="33"/>
      <c r="Z139" s="12"/>
      <c r="AA139" s="9"/>
      <c r="AB139" s="97">
        <v>4</v>
      </c>
      <c r="AC139" s="19"/>
      <c r="AD139" s="33"/>
      <c r="AE139" s="12"/>
      <c r="AF139" s="9"/>
      <c r="AG139" s="97">
        <v>0</v>
      </c>
      <c r="AH139" s="147"/>
      <c r="AI139" s="19"/>
      <c r="AJ139" s="33"/>
      <c r="AK139" s="12"/>
      <c r="AL139" s="9"/>
    </row>
    <row r="140" spans="1:38" ht="18" customHeight="1">
      <c r="A140" s="164"/>
      <c r="B140" s="6" t="s">
        <v>15</v>
      </c>
      <c r="C140" s="10">
        <v>1</v>
      </c>
      <c r="D140" s="9"/>
      <c r="E140" s="10"/>
      <c r="F140" s="11"/>
      <c r="G140" s="11"/>
      <c r="H140" s="97">
        <v>0</v>
      </c>
      <c r="I140" s="9"/>
      <c r="J140" s="33"/>
      <c r="K140" s="12"/>
      <c r="L140" s="9"/>
      <c r="M140" s="97">
        <v>1</v>
      </c>
      <c r="N140" s="9"/>
      <c r="O140" s="33"/>
      <c r="P140" s="12"/>
      <c r="Q140" s="9"/>
      <c r="R140" s="97">
        <v>1</v>
      </c>
      <c r="S140" s="19"/>
      <c r="T140" s="33"/>
      <c r="U140" s="12"/>
      <c r="V140" s="9"/>
      <c r="W140" s="97"/>
      <c r="X140" s="19"/>
      <c r="Y140" s="33"/>
      <c r="Z140" s="12"/>
      <c r="AA140" s="9"/>
      <c r="AB140" s="97"/>
      <c r="AC140" s="19"/>
      <c r="AD140" s="33"/>
      <c r="AE140" s="12"/>
      <c r="AF140" s="9"/>
      <c r="AG140" s="97"/>
      <c r="AH140" s="147"/>
      <c r="AI140" s="19"/>
      <c r="AJ140" s="33"/>
      <c r="AK140" s="12"/>
      <c r="AL140" s="9"/>
    </row>
    <row r="141" spans="1:38" ht="18" customHeight="1">
      <c r="A141" s="164"/>
      <c r="B141" s="6" t="s">
        <v>16</v>
      </c>
      <c r="C141" s="10">
        <v>9</v>
      </c>
      <c r="D141" s="9"/>
      <c r="E141" s="10"/>
      <c r="F141" s="11"/>
      <c r="G141" s="11"/>
      <c r="H141" s="97">
        <v>10</v>
      </c>
      <c r="I141" s="9"/>
      <c r="J141" s="33"/>
      <c r="K141" s="12"/>
      <c r="L141" s="9"/>
      <c r="M141" s="97">
        <v>7</v>
      </c>
      <c r="N141" s="9"/>
      <c r="O141" s="33"/>
      <c r="P141" s="12"/>
      <c r="Q141" s="9"/>
      <c r="R141" s="97">
        <v>7</v>
      </c>
      <c r="S141" s="19"/>
      <c r="T141" s="33"/>
      <c r="U141" s="12"/>
      <c r="V141" s="9"/>
      <c r="W141" s="97">
        <v>8</v>
      </c>
      <c r="X141" s="19"/>
      <c r="Y141" s="33"/>
      <c r="Z141" s="12"/>
      <c r="AA141" s="9"/>
      <c r="AB141" s="97">
        <v>2</v>
      </c>
      <c r="AC141" s="19"/>
      <c r="AD141" s="33"/>
      <c r="AE141" s="12"/>
      <c r="AF141" s="9"/>
      <c r="AG141" s="97">
        <v>5</v>
      </c>
      <c r="AH141" s="147"/>
      <c r="AI141" s="19"/>
      <c r="AJ141" s="33"/>
      <c r="AK141" s="12"/>
      <c r="AL141" s="9"/>
    </row>
    <row r="142" spans="1:38" ht="18" customHeight="1">
      <c r="A142" s="164"/>
      <c r="B142" s="6" t="s">
        <v>17</v>
      </c>
      <c r="C142" s="10">
        <v>2</v>
      </c>
      <c r="D142" s="9"/>
      <c r="E142" s="10"/>
      <c r="F142" s="11"/>
      <c r="G142" s="11"/>
      <c r="H142" s="97">
        <v>2</v>
      </c>
      <c r="I142" s="9"/>
      <c r="J142" s="33"/>
      <c r="K142" s="12"/>
      <c r="L142" s="9"/>
      <c r="M142" s="97">
        <v>1</v>
      </c>
      <c r="N142" s="9"/>
      <c r="O142" s="33"/>
      <c r="P142" s="12"/>
      <c r="Q142" s="9"/>
      <c r="R142" s="97">
        <v>1</v>
      </c>
      <c r="S142" s="19"/>
      <c r="T142" s="33"/>
      <c r="U142" s="12"/>
      <c r="V142" s="9"/>
      <c r="W142" s="97"/>
      <c r="X142" s="19"/>
      <c r="Y142" s="33"/>
      <c r="Z142" s="12"/>
      <c r="AA142" s="9"/>
      <c r="AB142" s="97"/>
      <c r="AC142" s="19"/>
      <c r="AD142" s="33"/>
      <c r="AE142" s="12"/>
      <c r="AF142" s="9"/>
      <c r="AG142" s="97"/>
      <c r="AH142" s="147"/>
      <c r="AI142" s="19"/>
      <c r="AJ142" s="33"/>
      <c r="AK142" s="12"/>
      <c r="AL142" s="9"/>
    </row>
    <row r="143" spans="1:38" ht="18" customHeight="1">
      <c r="A143" s="164"/>
      <c r="B143" s="6" t="s">
        <v>90</v>
      </c>
      <c r="C143" s="10"/>
      <c r="D143" s="9"/>
      <c r="E143" s="10"/>
      <c r="F143" s="11"/>
      <c r="G143" s="11"/>
      <c r="H143" s="97"/>
      <c r="I143" s="9"/>
      <c r="J143" s="33"/>
      <c r="K143" s="12"/>
      <c r="L143" s="9"/>
      <c r="M143" s="97"/>
      <c r="N143" s="9"/>
      <c r="O143" s="33"/>
      <c r="P143" s="12"/>
      <c r="Q143" s="9"/>
      <c r="R143" s="97"/>
      <c r="S143" s="19"/>
      <c r="T143" s="33"/>
      <c r="U143" s="12"/>
      <c r="V143" s="9"/>
      <c r="W143" s="97">
        <v>6</v>
      </c>
      <c r="X143" s="37"/>
      <c r="Y143" s="33"/>
      <c r="Z143" s="12"/>
      <c r="AA143" s="9"/>
      <c r="AB143" s="97">
        <v>5</v>
      </c>
      <c r="AC143" s="37"/>
      <c r="AD143" s="33"/>
      <c r="AE143" s="12"/>
      <c r="AF143" s="9"/>
      <c r="AG143" s="97">
        <v>4</v>
      </c>
      <c r="AH143" s="147"/>
      <c r="AI143" s="37"/>
      <c r="AJ143" s="33"/>
      <c r="AK143" s="12"/>
      <c r="AL143" s="9"/>
    </row>
    <row r="144" spans="1:38" ht="18" customHeight="1">
      <c r="A144" s="164"/>
      <c r="B144" s="6" t="s">
        <v>18</v>
      </c>
      <c r="C144" s="10">
        <v>9</v>
      </c>
      <c r="D144" s="9"/>
      <c r="E144" s="10"/>
      <c r="F144" s="11"/>
      <c r="G144" s="11"/>
      <c r="H144" s="97">
        <v>7</v>
      </c>
      <c r="I144" s="9"/>
      <c r="J144" s="33"/>
      <c r="K144" s="12"/>
      <c r="L144" s="9"/>
      <c r="M144" s="97">
        <v>9</v>
      </c>
      <c r="N144" s="9"/>
      <c r="O144" s="33"/>
      <c r="P144" s="12"/>
      <c r="Q144" s="9"/>
      <c r="R144" s="97">
        <v>3</v>
      </c>
      <c r="S144" s="19"/>
      <c r="T144" s="33"/>
      <c r="U144" s="12"/>
      <c r="V144" s="9"/>
      <c r="W144" s="97">
        <v>4</v>
      </c>
      <c r="X144" s="19"/>
      <c r="Y144" s="33"/>
      <c r="Z144" s="12"/>
      <c r="AA144" s="9"/>
      <c r="AB144" s="97">
        <v>5</v>
      </c>
      <c r="AC144" s="19"/>
      <c r="AD144" s="33"/>
      <c r="AE144" s="12"/>
      <c r="AF144" s="9"/>
      <c r="AG144" s="97">
        <v>9</v>
      </c>
      <c r="AH144" s="147"/>
      <c r="AI144" s="19"/>
      <c r="AJ144" s="33"/>
      <c r="AK144" s="12"/>
      <c r="AL144" s="9"/>
    </row>
    <row r="145" spans="1:38" s="60" customFormat="1" ht="18" customHeight="1">
      <c r="A145" s="164"/>
      <c r="B145" s="44" t="s">
        <v>19</v>
      </c>
      <c r="C145" s="55">
        <f>SUM(C135:C144)</f>
        <v>33</v>
      </c>
      <c r="D145" s="20"/>
      <c r="E145" s="55"/>
      <c r="F145" s="55"/>
      <c r="G145" s="55"/>
      <c r="H145" s="100">
        <f>SUM(H135:H144)</f>
        <v>21</v>
      </c>
      <c r="I145" s="20"/>
      <c r="J145" s="61"/>
      <c r="K145" s="56"/>
      <c r="L145" s="20"/>
      <c r="M145" s="100">
        <f>SUM(M135:M144)</f>
        <v>21</v>
      </c>
      <c r="N145" s="20"/>
      <c r="O145" s="61"/>
      <c r="P145" s="56"/>
      <c r="Q145" s="20"/>
      <c r="R145" s="100">
        <f>SUM(R135:R144)</f>
        <v>14</v>
      </c>
      <c r="S145" s="20"/>
      <c r="T145" s="61"/>
      <c r="U145" s="56"/>
      <c r="V145" s="20"/>
      <c r="W145" s="100">
        <f>SUM(W135:W144)</f>
        <v>30</v>
      </c>
      <c r="X145" s="20"/>
      <c r="Y145" s="61"/>
      <c r="Z145" s="56"/>
      <c r="AA145" s="20"/>
      <c r="AB145" s="100">
        <f>SUM(AB135:AB144)</f>
        <v>27</v>
      </c>
      <c r="AC145" s="20"/>
      <c r="AD145" s="61"/>
      <c r="AE145" s="56"/>
      <c r="AF145" s="20"/>
      <c r="AG145" s="100">
        <v>21</v>
      </c>
      <c r="AH145" s="149"/>
      <c r="AI145" s="20"/>
      <c r="AJ145" s="61"/>
      <c r="AK145" s="56"/>
      <c r="AL145" s="20"/>
    </row>
    <row r="147" spans="2:3" ht="15.75">
      <c r="B147" s="70" t="s">
        <v>71</v>
      </c>
      <c r="C147" s="71" t="s">
        <v>74</v>
      </c>
    </row>
    <row r="148" spans="2:3" ht="15.75">
      <c r="B148" s="69" t="s">
        <v>71</v>
      </c>
      <c r="C148" s="71" t="s">
        <v>75</v>
      </c>
    </row>
    <row r="150" ht="12.75">
      <c r="AA150" t="s">
        <v>94</v>
      </c>
    </row>
  </sheetData>
  <mergeCells count="21">
    <mergeCell ref="A1:A2"/>
    <mergeCell ref="A135:A145"/>
    <mergeCell ref="A69:A79"/>
    <mergeCell ref="A91:A101"/>
    <mergeCell ref="A102:A112"/>
    <mergeCell ref="A113:A123"/>
    <mergeCell ref="A124:A134"/>
    <mergeCell ref="W1:AA1"/>
    <mergeCell ref="R1:V1"/>
    <mergeCell ref="M1:Q1"/>
    <mergeCell ref="H1:L1"/>
    <mergeCell ref="A36:A46"/>
    <mergeCell ref="A80:A90"/>
    <mergeCell ref="AG1:AL1"/>
    <mergeCell ref="C1:G1"/>
    <mergeCell ref="AB1:AF1"/>
    <mergeCell ref="A14:A24"/>
    <mergeCell ref="A58:A68"/>
    <mergeCell ref="A47:A57"/>
    <mergeCell ref="A3:A13"/>
    <mergeCell ref="A25:A35"/>
  </mergeCells>
  <printOptions/>
  <pageMargins left="0.3937007874015748" right="0.3937007874015748" top="0.25" bottom="0.24" header="0.24" footer="0.16"/>
  <pageSetup horizontalDpi="600" verticalDpi="600" orientation="portrait" paperSize="8" scale="4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37"/>
  <sheetViews>
    <sheetView workbookViewId="0" topLeftCell="A1">
      <pane xSplit="2" ySplit="1" topLeftCell="X11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K4" sqref="AK4"/>
    </sheetView>
  </sheetViews>
  <sheetFormatPr defaultColWidth="9.140625" defaultRowHeight="12.75"/>
  <cols>
    <col min="1" max="1" width="15.7109375" style="0" customWidth="1"/>
    <col min="2" max="2" width="32.421875" style="0" customWidth="1"/>
    <col min="3" max="3" width="18.28125" style="1" customWidth="1"/>
    <col min="4" max="7" width="16.7109375" style="0" customWidth="1"/>
    <col min="8" max="8" width="16.7109375" style="1" customWidth="1"/>
    <col min="9" max="17" width="16.7109375" style="0" customWidth="1"/>
    <col min="18" max="18" width="16.7109375" style="1" customWidth="1"/>
    <col min="19" max="22" width="16.7109375" style="0" customWidth="1"/>
    <col min="23" max="23" width="19.421875" style="0" customWidth="1"/>
    <col min="24" max="27" width="16.7109375" style="0" customWidth="1"/>
    <col min="28" max="28" width="17.7109375" style="0" customWidth="1"/>
    <col min="29" max="29" width="15.7109375" style="0" bestFit="1" customWidth="1"/>
    <col min="30" max="30" width="14.57421875" style="0" bestFit="1" customWidth="1"/>
    <col min="31" max="31" width="16.140625" style="0" hidden="1" customWidth="1"/>
    <col min="32" max="32" width="12.8515625" style="0" hidden="1" customWidth="1"/>
    <col min="33" max="33" width="15.7109375" style="0" customWidth="1"/>
    <col min="34" max="34" width="15.140625" style="0" bestFit="1" customWidth="1"/>
    <col min="35" max="37" width="15.7109375" style="0" customWidth="1"/>
  </cols>
  <sheetData>
    <row r="1" spans="1:37" ht="30" customHeight="1">
      <c r="A1" s="163"/>
      <c r="B1" s="158" t="s">
        <v>9</v>
      </c>
      <c r="C1" s="158"/>
      <c r="D1" s="158"/>
      <c r="E1" s="158"/>
      <c r="F1" s="158"/>
      <c r="G1" s="158"/>
      <c r="H1" s="158" t="s">
        <v>20</v>
      </c>
      <c r="I1" s="158"/>
      <c r="J1" s="158"/>
      <c r="K1" s="158"/>
      <c r="L1" s="158"/>
      <c r="M1" s="158" t="s">
        <v>76</v>
      </c>
      <c r="N1" s="158"/>
      <c r="O1" s="158"/>
      <c r="P1" s="158"/>
      <c r="Q1" s="158"/>
      <c r="R1" s="158" t="s">
        <v>83</v>
      </c>
      <c r="S1" s="158"/>
      <c r="T1" s="158"/>
      <c r="U1" s="158"/>
      <c r="V1" s="158"/>
      <c r="W1" s="166" t="s">
        <v>89</v>
      </c>
      <c r="X1" s="167"/>
      <c r="Y1" s="167"/>
      <c r="Z1" s="167"/>
      <c r="AA1" s="168"/>
      <c r="AB1" s="166" t="s">
        <v>92</v>
      </c>
      <c r="AC1" s="167"/>
      <c r="AD1" s="167"/>
      <c r="AE1" s="167"/>
      <c r="AF1" s="168"/>
      <c r="AG1" s="166" t="s">
        <v>93</v>
      </c>
      <c r="AH1" s="167"/>
      <c r="AI1" s="167"/>
      <c r="AJ1" s="167"/>
      <c r="AK1" s="168"/>
    </row>
    <row r="2" spans="1:37" ht="49.5" customHeight="1">
      <c r="A2" s="163"/>
      <c r="B2" s="126"/>
      <c r="C2" s="7" t="s">
        <v>29</v>
      </c>
      <c r="D2" s="8" t="s">
        <v>30</v>
      </c>
      <c r="E2" s="8" t="s">
        <v>58</v>
      </c>
      <c r="F2" s="8" t="s">
        <v>32</v>
      </c>
      <c r="G2" s="8" t="s">
        <v>31</v>
      </c>
      <c r="H2" s="7" t="s">
        <v>29</v>
      </c>
      <c r="I2" s="8" t="s">
        <v>30</v>
      </c>
      <c r="J2" s="8" t="s">
        <v>58</v>
      </c>
      <c r="K2" s="8" t="s">
        <v>32</v>
      </c>
      <c r="L2" s="8" t="s">
        <v>31</v>
      </c>
      <c r="M2" s="7" t="s">
        <v>29</v>
      </c>
      <c r="N2" s="8" t="s">
        <v>30</v>
      </c>
      <c r="O2" s="8" t="s">
        <v>58</v>
      </c>
      <c r="P2" s="8" t="s">
        <v>32</v>
      </c>
      <c r="Q2" s="8" t="s">
        <v>31</v>
      </c>
      <c r="R2" s="7" t="s">
        <v>29</v>
      </c>
      <c r="S2" s="8" t="s">
        <v>30</v>
      </c>
      <c r="T2" s="8" t="s">
        <v>58</v>
      </c>
      <c r="U2" s="8" t="s">
        <v>32</v>
      </c>
      <c r="V2" s="8" t="s">
        <v>31</v>
      </c>
      <c r="W2" s="7" t="s">
        <v>29</v>
      </c>
      <c r="X2" s="8" t="s">
        <v>30</v>
      </c>
      <c r="Y2" s="8" t="s">
        <v>58</v>
      </c>
      <c r="Z2" s="8" t="s">
        <v>32</v>
      </c>
      <c r="AA2" s="8" t="s">
        <v>31</v>
      </c>
      <c r="AB2" s="7" t="s">
        <v>29</v>
      </c>
      <c r="AC2" s="8" t="s">
        <v>30</v>
      </c>
      <c r="AD2" s="8" t="s">
        <v>58</v>
      </c>
      <c r="AE2" s="8" t="s">
        <v>32</v>
      </c>
      <c r="AF2" s="8" t="s">
        <v>31</v>
      </c>
      <c r="AG2" s="7" t="s">
        <v>29</v>
      </c>
      <c r="AH2" s="8" t="s">
        <v>30</v>
      </c>
      <c r="AI2" s="8" t="s">
        <v>58</v>
      </c>
      <c r="AJ2" s="8" t="s">
        <v>32</v>
      </c>
      <c r="AK2" s="8" t="s">
        <v>31</v>
      </c>
    </row>
    <row r="3" spans="1:37" ht="18" customHeight="1">
      <c r="A3" s="165" t="s">
        <v>82</v>
      </c>
      <c r="B3" s="6" t="s">
        <v>10</v>
      </c>
      <c r="C3" s="78"/>
      <c r="D3" s="63"/>
      <c r="E3" s="10"/>
      <c r="F3" s="64"/>
      <c r="G3" s="64"/>
      <c r="H3" s="74"/>
      <c r="I3" s="63"/>
      <c r="J3" s="33"/>
      <c r="K3" s="17"/>
      <c r="L3" s="63"/>
      <c r="M3" s="74"/>
      <c r="N3" s="63"/>
      <c r="O3" s="33"/>
      <c r="P3" s="17"/>
      <c r="Q3" s="63"/>
      <c r="R3" s="74"/>
      <c r="S3" s="63"/>
      <c r="T3" s="33"/>
      <c r="U3" s="17"/>
      <c r="V3" s="63"/>
      <c r="W3" s="127"/>
      <c r="X3" s="37"/>
      <c r="Y3" s="33"/>
      <c r="Z3" s="28"/>
      <c r="AA3" s="28"/>
      <c r="AB3" s="127"/>
      <c r="AC3" s="37"/>
      <c r="AD3" s="33"/>
      <c r="AE3" s="28"/>
      <c r="AF3" s="28"/>
      <c r="AG3" s="127"/>
      <c r="AH3" s="37"/>
      <c r="AI3" s="33"/>
      <c r="AJ3" s="28"/>
      <c r="AK3" s="28"/>
    </row>
    <row r="4" spans="1:37" ht="18" customHeight="1">
      <c r="A4" s="165"/>
      <c r="B4" s="6" t="s">
        <v>11</v>
      </c>
      <c r="C4" s="78"/>
      <c r="D4" s="63"/>
      <c r="E4" s="33"/>
      <c r="F4" s="64"/>
      <c r="G4" s="64"/>
      <c r="H4" s="74"/>
      <c r="I4" s="63"/>
      <c r="J4" s="33"/>
      <c r="K4" s="17"/>
      <c r="L4" s="63"/>
      <c r="M4" s="74"/>
      <c r="N4" s="63"/>
      <c r="O4" s="33"/>
      <c r="P4" s="17"/>
      <c r="Q4" s="63"/>
      <c r="R4" s="74"/>
      <c r="S4" s="63"/>
      <c r="T4" s="33"/>
      <c r="U4" s="17"/>
      <c r="V4" s="63"/>
      <c r="W4" s="127">
        <v>112</v>
      </c>
      <c r="X4" s="37"/>
      <c r="Y4" s="33"/>
      <c r="Z4" s="28"/>
      <c r="AA4" s="28"/>
      <c r="AB4" s="127">
        <v>196</v>
      </c>
      <c r="AC4" s="37"/>
      <c r="AD4" s="33"/>
      <c r="AE4" s="28"/>
      <c r="AF4" s="28"/>
      <c r="AG4" s="127">
        <v>263</v>
      </c>
      <c r="AH4" s="37"/>
      <c r="AI4" s="33"/>
      <c r="AJ4" s="28"/>
      <c r="AK4" s="28"/>
    </row>
    <row r="5" spans="1:37" ht="18" customHeight="1">
      <c r="A5" s="165"/>
      <c r="B5" s="6" t="s">
        <v>12</v>
      </c>
      <c r="C5" s="78"/>
      <c r="D5" s="63"/>
      <c r="E5" s="33"/>
      <c r="F5" s="64"/>
      <c r="G5" s="64"/>
      <c r="H5" s="74"/>
      <c r="I5" s="63"/>
      <c r="J5" s="33"/>
      <c r="K5" s="17"/>
      <c r="L5" s="63"/>
      <c r="M5" s="74"/>
      <c r="N5" s="63"/>
      <c r="O5" s="33"/>
      <c r="P5" s="17"/>
      <c r="Q5" s="63"/>
      <c r="R5" s="74"/>
      <c r="S5" s="63"/>
      <c r="T5" s="33"/>
      <c r="U5" s="17"/>
      <c r="V5" s="63"/>
      <c r="W5" s="127"/>
      <c r="X5" s="37"/>
      <c r="Y5" s="33"/>
      <c r="Z5" s="28"/>
      <c r="AA5" s="28"/>
      <c r="AB5" s="127"/>
      <c r="AC5" s="37"/>
      <c r="AD5" s="33"/>
      <c r="AE5" s="28"/>
      <c r="AF5" s="28"/>
      <c r="AG5" s="127"/>
      <c r="AH5" s="37"/>
      <c r="AI5" s="33"/>
      <c r="AJ5" s="28"/>
      <c r="AK5" s="28"/>
    </row>
    <row r="6" spans="1:37" ht="18" customHeight="1">
      <c r="A6" s="165"/>
      <c r="B6" s="6" t="s">
        <v>13</v>
      </c>
      <c r="C6" s="78"/>
      <c r="D6" s="63"/>
      <c r="E6" s="33"/>
      <c r="F6" s="64"/>
      <c r="G6" s="64"/>
      <c r="H6" s="74"/>
      <c r="I6" s="63"/>
      <c r="J6" s="33"/>
      <c r="K6" s="17"/>
      <c r="L6" s="63"/>
      <c r="M6" s="74"/>
      <c r="N6" s="63"/>
      <c r="O6" s="33"/>
      <c r="P6" s="17"/>
      <c r="Q6" s="63"/>
      <c r="R6" s="74"/>
      <c r="S6" s="63"/>
      <c r="T6" s="33"/>
      <c r="U6" s="17"/>
      <c r="V6" s="63"/>
      <c r="W6" s="127"/>
      <c r="X6" s="37"/>
      <c r="Y6" s="33"/>
      <c r="Z6" s="28"/>
      <c r="AA6" s="28"/>
      <c r="AB6" s="127"/>
      <c r="AC6" s="37"/>
      <c r="AD6" s="33"/>
      <c r="AE6" s="28"/>
      <c r="AF6" s="28"/>
      <c r="AG6" s="127"/>
      <c r="AH6" s="37"/>
      <c r="AI6" s="33"/>
      <c r="AJ6" s="28"/>
      <c r="AK6" s="28"/>
    </row>
    <row r="7" spans="1:37" ht="18" customHeight="1">
      <c r="A7" s="165"/>
      <c r="B7" s="6" t="s">
        <v>14</v>
      </c>
      <c r="C7" s="78"/>
      <c r="D7" s="63"/>
      <c r="E7" s="33"/>
      <c r="F7" s="64"/>
      <c r="G7" s="64"/>
      <c r="H7" s="74"/>
      <c r="I7" s="63"/>
      <c r="J7" s="33"/>
      <c r="K7" s="17"/>
      <c r="L7" s="63"/>
      <c r="M7" s="74"/>
      <c r="N7" s="63"/>
      <c r="O7" s="33"/>
      <c r="P7" s="17"/>
      <c r="Q7" s="63"/>
      <c r="R7" s="74"/>
      <c r="S7" s="63"/>
      <c r="T7" s="33"/>
      <c r="U7" s="17"/>
      <c r="V7" s="63"/>
      <c r="W7" s="127">
        <v>33</v>
      </c>
      <c r="X7" s="37"/>
      <c r="Y7" s="33"/>
      <c r="Z7" s="28"/>
      <c r="AA7" s="28"/>
      <c r="AB7" s="127">
        <v>59</v>
      </c>
      <c r="AC7" s="37"/>
      <c r="AD7" s="33"/>
      <c r="AE7" s="28"/>
      <c r="AF7" s="28"/>
      <c r="AG7" s="127">
        <v>62</v>
      </c>
      <c r="AH7" s="37"/>
      <c r="AI7" s="33"/>
      <c r="AJ7" s="28"/>
      <c r="AK7" s="28"/>
    </row>
    <row r="8" spans="1:37" ht="18" customHeight="1">
      <c r="A8" s="165"/>
      <c r="B8" s="6" t="s">
        <v>15</v>
      </c>
      <c r="C8" s="78"/>
      <c r="D8" s="65"/>
      <c r="E8" s="33"/>
      <c r="F8" s="64"/>
      <c r="G8" s="64"/>
      <c r="H8" s="74"/>
      <c r="I8" s="63"/>
      <c r="J8" s="33"/>
      <c r="K8" s="17"/>
      <c r="L8" s="65"/>
      <c r="M8" s="74"/>
      <c r="N8" s="63"/>
      <c r="O8" s="33"/>
      <c r="P8" s="17"/>
      <c r="Q8" s="65"/>
      <c r="R8" s="74"/>
      <c r="S8" s="63"/>
      <c r="T8" s="33"/>
      <c r="U8" s="17"/>
      <c r="V8" s="65"/>
      <c r="W8" s="127"/>
      <c r="X8" s="38"/>
      <c r="Y8" s="29"/>
      <c r="Z8" s="124"/>
      <c r="AA8" s="124"/>
      <c r="AB8" s="127"/>
      <c r="AC8" s="38"/>
      <c r="AD8" s="29"/>
      <c r="AE8" s="124"/>
      <c r="AF8" s="124"/>
      <c r="AG8" s="127"/>
      <c r="AH8" s="38"/>
      <c r="AI8" s="29"/>
      <c r="AJ8" s="124"/>
      <c r="AK8" s="124"/>
    </row>
    <row r="9" spans="1:37" ht="18" customHeight="1">
      <c r="A9" s="165"/>
      <c r="B9" s="6" t="s">
        <v>16</v>
      </c>
      <c r="C9" s="78"/>
      <c r="D9" s="63"/>
      <c r="E9" s="33"/>
      <c r="F9" s="64"/>
      <c r="G9" s="64"/>
      <c r="H9" s="74"/>
      <c r="I9" s="63"/>
      <c r="J9" s="33"/>
      <c r="K9" s="17"/>
      <c r="L9" s="63"/>
      <c r="M9" s="74"/>
      <c r="N9" s="63"/>
      <c r="O9" s="33"/>
      <c r="P9" s="17"/>
      <c r="Q9" s="63"/>
      <c r="R9" s="74"/>
      <c r="S9" s="63"/>
      <c r="T9" s="33"/>
      <c r="U9" s="17"/>
      <c r="V9" s="63"/>
      <c r="W9" s="127">
        <v>56</v>
      </c>
      <c r="X9" s="87"/>
      <c r="Y9" s="33"/>
      <c r="Z9" s="28"/>
      <c r="AA9" s="28"/>
      <c r="AB9" s="127">
        <v>80</v>
      </c>
      <c r="AC9" s="87"/>
      <c r="AD9" s="33"/>
      <c r="AE9" s="28"/>
      <c r="AF9" s="28"/>
      <c r="AG9" s="127">
        <v>98</v>
      </c>
      <c r="AH9" s="87"/>
      <c r="AI9" s="33"/>
      <c r="AJ9" s="28"/>
      <c r="AK9" s="28"/>
    </row>
    <row r="10" spans="1:37" ht="18" customHeight="1">
      <c r="A10" s="165"/>
      <c r="B10" s="6" t="s">
        <v>17</v>
      </c>
      <c r="C10" s="78"/>
      <c r="D10" s="63"/>
      <c r="E10" s="33"/>
      <c r="F10" s="64"/>
      <c r="G10" s="64"/>
      <c r="H10" s="74"/>
      <c r="I10" s="63"/>
      <c r="J10" s="33"/>
      <c r="K10" s="17"/>
      <c r="L10" s="63"/>
      <c r="M10" s="74"/>
      <c r="N10" s="63"/>
      <c r="O10" s="33"/>
      <c r="P10" s="17"/>
      <c r="Q10" s="63"/>
      <c r="R10" s="74"/>
      <c r="S10" s="63"/>
      <c r="T10" s="33"/>
      <c r="U10" s="17"/>
      <c r="V10" s="63"/>
      <c r="W10" s="127"/>
      <c r="X10" s="37"/>
      <c r="Y10" s="33"/>
      <c r="Z10" s="28"/>
      <c r="AA10" s="28"/>
      <c r="AB10" s="127"/>
      <c r="AC10" s="37"/>
      <c r="AD10" s="33"/>
      <c r="AE10" s="28"/>
      <c r="AF10" s="28"/>
      <c r="AG10" s="127"/>
      <c r="AH10" s="37"/>
      <c r="AI10" s="33"/>
      <c r="AJ10" s="28"/>
      <c r="AK10" s="28"/>
    </row>
    <row r="11" spans="1:37" ht="18" customHeight="1">
      <c r="A11" s="165"/>
      <c r="B11" s="6" t="s">
        <v>90</v>
      </c>
      <c r="C11" s="78"/>
      <c r="D11" s="63"/>
      <c r="E11" s="33"/>
      <c r="F11" s="64"/>
      <c r="G11" s="64"/>
      <c r="H11" s="74"/>
      <c r="I11" s="63"/>
      <c r="J11" s="33"/>
      <c r="K11" s="17"/>
      <c r="L11" s="63"/>
      <c r="M11" s="74"/>
      <c r="N11" s="63"/>
      <c r="O11" s="33"/>
      <c r="P11" s="17"/>
      <c r="Q11" s="63"/>
      <c r="R11" s="74"/>
      <c r="S11" s="63"/>
      <c r="T11" s="33"/>
      <c r="U11" s="17"/>
      <c r="V11" s="63"/>
      <c r="W11" s="127">
        <v>77</v>
      </c>
      <c r="X11" s="37"/>
      <c r="Y11" s="33"/>
      <c r="Z11" s="28"/>
      <c r="AA11" s="28"/>
      <c r="AB11" s="127">
        <v>164</v>
      </c>
      <c r="AC11" s="37"/>
      <c r="AD11" s="33"/>
      <c r="AE11" s="28"/>
      <c r="AF11" s="28"/>
      <c r="AG11" s="127">
        <v>181</v>
      </c>
      <c r="AH11" s="37"/>
      <c r="AI11" s="33"/>
      <c r="AJ11" s="28"/>
      <c r="AK11" s="28"/>
    </row>
    <row r="12" spans="1:37" ht="18" customHeight="1">
      <c r="A12" s="165"/>
      <c r="B12" s="6" t="s">
        <v>18</v>
      </c>
      <c r="C12" s="78"/>
      <c r="D12" s="63"/>
      <c r="E12" s="33"/>
      <c r="F12" s="64"/>
      <c r="G12" s="64"/>
      <c r="H12" s="74"/>
      <c r="I12" s="63"/>
      <c r="J12" s="33"/>
      <c r="K12" s="17"/>
      <c r="L12" s="63"/>
      <c r="M12" s="74"/>
      <c r="N12" s="63"/>
      <c r="O12" s="33"/>
      <c r="P12" s="17"/>
      <c r="Q12" s="63"/>
      <c r="R12" s="74"/>
      <c r="S12" s="63"/>
      <c r="T12" s="33"/>
      <c r="U12" s="17"/>
      <c r="V12" s="63"/>
      <c r="W12" s="127">
        <v>84</v>
      </c>
      <c r="X12" s="37"/>
      <c r="Y12" s="33"/>
      <c r="Z12" s="28"/>
      <c r="AA12" s="28"/>
      <c r="AB12" s="127">
        <v>130</v>
      </c>
      <c r="AC12" s="37"/>
      <c r="AD12" s="33"/>
      <c r="AE12" s="28"/>
      <c r="AF12" s="28"/>
      <c r="AG12" s="127">
        <v>143</v>
      </c>
      <c r="AH12" s="37"/>
      <c r="AI12" s="33"/>
      <c r="AJ12" s="28"/>
      <c r="AK12" s="28"/>
    </row>
    <row r="13" spans="1:37" s="60" customFormat="1" ht="18" customHeight="1">
      <c r="A13" s="165"/>
      <c r="B13" s="44" t="s">
        <v>19</v>
      </c>
      <c r="C13" s="44"/>
      <c r="D13" s="20"/>
      <c r="E13" s="59"/>
      <c r="F13" s="59"/>
      <c r="G13" s="59"/>
      <c r="H13" s="56"/>
      <c r="I13" s="20"/>
      <c r="J13" s="59"/>
      <c r="K13" s="56"/>
      <c r="L13" s="20"/>
      <c r="M13" s="56"/>
      <c r="N13" s="20"/>
      <c r="O13" s="59"/>
      <c r="P13" s="56"/>
      <c r="Q13" s="20"/>
      <c r="R13" s="56"/>
      <c r="S13" s="20"/>
      <c r="T13" s="59"/>
      <c r="U13" s="56"/>
      <c r="V13" s="20"/>
      <c r="W13" s="128">
        <f>SUM(W3:W12)</f>
        <v>362</v>
      </c>
      <c r="X13" s="20"/>
      <c r="Y13" s="61"/>
      <c r="Z13" s="59"/>
      <c r="AA13" s="59"/>
      <c r="AB13" s="128">
        <f>SUM(AB3:AB12)</f>
        <v>629</v>
      </c>
      <c r="AC13" s="20"/>
      <c r="AD13" s="61"/>
      <c r="AE13" s="59"/>
      <c r="AF13" s="59"/>
      <c r="AG13" s="128">
        <f>SUM(AG3:AG12)</f>
        <v>747</v>
      </c>
      <c r="AH13" s="20"/>
      <c r="AI13" s="61"/>
      <c r="AJ13" s="59"/>
      <c r="AK13" s="59"/>
    </row>
    <row r="14" spans="1:37" ht="18" customHeight="1">
      <c r="A14" s="169" t="s">
        <v>21</v>
      </c>
      <c r="B14" s="6" t="s">
        <v>10</v>
      </c>
      <c r="C14" s="45"/>
      <c r="D14" s="63"/>
      <c r="E14" s="10"/>
      <c r="F14" s="64"/>
      <c r="G14" s="64"/>
      <c r="H14" s="17"/>
      <c r="I14" s="63"/>
      <c r="J14" s="33"/>
      <c r="K14" s="17"/>
      <c r="L14" s="63"/>
      <c r="M14" s="17">
        <v>1</v>
      </c>
      <c r="N14" s="63">
        <v>1818.3463636363635</v>
      </c>
      <c r="O14" s="33">
        <v>86.79545454545455</v>
      </c>
      <c r="P14" s="17"/>
      <c r="Q14" s="63"/>
      <c r="R14" s="17">
        <v>1</v>
      </c>
      <c r="S14" s="63">
        <v>1418.6629870129868</v>
      </c>
      <c r="T14" s="33">
        <v>59.05194805194806</v>
      </c>
      <c r="U14" s="17"/>
      <c r="V14" s="63"/>
      <c r="W14" s="17"/>
      <c r="X14" s="63"/>
      <c r="Y14" s="33"/>
      <c r="Z14" s="17"/>
      <c r="AA14" s="63"/>
      <c r="AB14" s="17"/>
      <c r="AC14" s="63"/>
      <c r="AD14" s="33"/>
      <c r="AE14" s="17"/>
      <c r="AF14" s="63"/>
      <c r="AG14" s="17"/>
      <c r="AH14" s="63"/>
      <c r="AI14" s="33"/>
      <c r="AJ14" s="17"/>
      <c r="AK14" s="63"/>
    </row>
    <row r="15" spans="1:37" ht="18" customHeight="1">
      <c r="A15" s="169"/>
      <c r="B15" s="6" t="s">
        <v>11</v>
      </c>
      <c r="C15" s="45">
        <v>24</v>
      </c>
      <c r="D15" s="63">
        <f>(86475.78+6220.5+8133.21)/24</f>
        <v>4201.22875</v>
      </c>
      <c r="E15" s="33">
        <f>4243.17/C15</f>
        <v>176.79875</v>
      </c>
      <c r="F15" s="64"/>
      <c r="G15" s="64"/>
      <c r="H15" s="17">
        <v>23</v>
      </c>
      <c r="I15" s="63">
        <f>25800.63/32</f>
        <v>806.2696875</v>
      </c>
      <c r="J15" s="33">
        <f>4599/32</f>
        <v>143.71875</v>
      </c>
      <c r="K15" s="17"/>
      <c r="L15" s="63"/>
      <c r="M15" s="17">
        <v>34</v>
      </c>
      <c r="N15" s="63">
        <v>2755.8509081877305</v>
      </c>
      <c r="O15" s="33">
        <v>128.3605885536033</v>
      </c>
      <c r="P15" s="17"/>
      <c r="Q15" s="63"/>
      <c r="R15" s="17">
        <v>30</v>
      </c>
      <c r="S15" s="63">
        <v>2760.0189022366535</v>
      </c>
      <c r="T15" s="33">
        <v>130.67475974025976</v>
      </c>
      <c r="U15" s="17"/>
      <c r="V15" s="63"/>
      <c r="W15" s="17">
        <v>32</v>
      </c>
      <c r="X15" s="75">
        <v>1607.974828125</v>
      </c>
      <c r="Y15" s="29">
        <v>66.93213541666667</v>
      </c>
      <c r="Z15" s="17"/>
      <c r="AA15" s="63"/>
      <c r="AB15" s="17">
        <v>37</v>
      </c>
      <c r="AC15" s="75">
        <f>89130.87/AB15</f>
        <v>2408.9424324324323</v>
      </c>
      <c r="AD15" s="29">
        <f>3603.65/AB15</f>
        <v>97.39594594594595</v>
      </c>
      <c r="AE15" s="17"/>
      <c r="AF15" s="63"/>
      <c r="AG15" s="17">
        <v>44</v>
      </c>
      <c r="AH15" s="75">
        <f>93324.83/AG15</f>
        <v>2121.0188636363637</v>
      </c>
      <c r="AI15" s="29">
        <f>3850/AG15</f>
        <v>87.5</v>
      </c>
      <c r="AJ15" s="17"/>
      <c r="AK15" s="63"/>
    </row>
    <row r="16" spans="1:37" ht="18" customHeight="1">
      <c r="A16" s="169"/>
      <c r="B16" s="6" t="s">
        <v>12</v>
      </c>
      <c r="C16" s="45">
        <v>1</v>
      </c>
      <c r="D16" s="63">
        <f>5034.85</f>
        <v>5034.85</v>
      </c>
      <c r="E16" s="33">
        <f>247/C16</f>
        <v>247</v>
      </c>
      <c r="F16" s="64"/>
      <c r="G16" s="64"/>
      <c r="H16" s="17"/>
      <c r="I16" s="63"/>
      <c r="J16" s="33"/>
      <c r="K16" s="17"/>
      <c r="L16" s="63"/>
      <c r="M16" s="17">
        <v>0</v>
      </c>
      <c r="N16" s="63"/>
      <c r="O16" s="33"/>
      <c r="P16" s="17"/>
      <c r="Q16" s="63"/>
      <c r="R16" s="17">
        <v>0</v>
      </c>
      <c r="S16" s="63">
        <v>0</v>
      </c>
      <c r="T16" s="33">
        <v>0</v>
      </c>
      <c r="U16" s="17"/>
      <c r="V16" s="63"/>
      <c r="W16" s="17"/>
      <c r="X16" s="87"/>
      <c r="Y16" s="87"/>
      <c r="Z16" s="17"/>
      <c r="AA16" s="63"/>
      <c r="AB16" s="17"/>
      <c r="AC16" s="87"/>
      <c r="AD16" s="87"/>
      <c r="AE16" s="17"/>
      <c r="AF16" s="63"/>
      <c r="AG16" s="17"/>
      <c r="AH16" s="87"/>
      <c r="AI16" s="87"/>
      <c r="AJ16" s="17"/>
      <c r="AK16" s="63"/>
    </row>
    <row r="17" spans="1:37" ht="18" customHeight="1">
      <c r="A17" s="169"/>
      <c r="B17" s="6" t="s">
        <v>13</v>
      </c>
      <c r="C17" s="45">
        <v>3</v>
      </c>
      <c r="D17" s="63">
        <f>(16578.91+1768.42+1234.04)/3</f>
        <v>6527.123333333334</v>
      </c>
      <c r="E17" s="33">
        <f>813.49/C17</f>
        <v>271.16333333333336</v>
      </c>
      <c r="F17" s="64"/>
      <c r="G17" s="64"/>
      <c r="H17" s="17">
        <v>3</v>
      </c>
      <c r="I17" s="63">
        <f>6025.38/3</f>
        <v>2008.46</v>
      </c>
      <c r="J17" s="33">
        <f>971/3</f>
        <v>323.6666666666667</v>
      </c>
      <c r="K17" s="17"/>
      <c r="L17" s="63"/>
      <c r="M17" s="17">
        <v>3</v>
      </c>
      <c r="N17" s="63">
        <v>7040.369254536509</v>
      </c>
      <c r="O17" s="33">
        <v>289.5</v>
      </c>
      <c r="P17" s="17"/>
      <c r="Q17" s="63"/>
      <c r="R17" s="17">
        <v>3</v>
      </c>
      <c r="S17" s="63">
        <v>6098.112055555556</v>
      </c>
      <c r="T17" s="33">
        <v>253.16666666666666</v>
      </c>
      <c r="U17" s="17"/>
      <c r="V17" s="63"/>
      <c r="W17" s="17"/>
      <c r="X17" s="87"/>
      <c r="Y17" s="87"/>
      <c r="Z17" s="17"/>
      <c r="AA17" s="63"/>
      <c r="AB17" s="17"/>
      <c r="AC17" s="87"/>
      <c r="AD17" s="87"/>
      <c r="AE17" s="17"/>
      <c r="AF17" s="63"/>
      <c r="AG17" s="17"/>
      <c r="AH17" s="87"/>
      <c r="AI17" s="87"/>
      <c r="AJ17" s="17"/>
      <c r="AK17" s="63"/>
    </row>
    <row r="18" spans="1:37" ht="18" customHeight="1">
      <c r="A18" s="169"/>
      <c r="B18" s="6" t="s">
        <v>14</v>
      </c>
      <c r="C18" s="45">
        <v>4</v>
      </c>
      <c r="D18" s="63">
        <f>(16714.88+1469.58+2891.45)/C18</f>
        <v>5268.9775</v>
      </c>
      <c r="E18" s="33">
        <f>820.16/C18</f>
        <v>205.04</v>
      </c>
      <c r="F18" s="64"/>
      <c r="G18" s="64"/>
      <c r="H18" s="17">
        <v>5</v>
      </c>
      <c r="I18" s="63">
        <f>3908.87/H18</f>
        <v>781.774</v>
      </c>
      <c r="J18" s="33">
        <f>625/H18</f>
        <v>125</v>
      </c>
      <c r="K18" s="17"/>
      <c r="L18" s="63"/>
      <c r="M18" s="17">
        <v>10</v>
      </c>
      <c r="N18" s="63">
        <v>2322.481398238723</v>
      </c>
      <c r="O18" s="33">
        <v>119.8903409090909</v>
      </c>
      <c r="P18" s="17"/>
      <c r="Q18" s="63"/>
      <c r="R18" s="17">
        <v>6</v>
      </c>
      <c r="S18" s="63">
        <v>2371.0683766233765</v>
      </c>
      <c r="T18" s="33">
        <v>91.62445887445885</v>
      </c>
      <c r="U18" s="17"/>
      <c r="V18" s="63"/>
      <c r="W18" s="17">
        <v>8</v>
      </c>
      <c r="X18" s="63">
        <v>2582.2975</v>
      </c>
      <c r="Y18" s="33">
        <v>107.48875</v>
      </c>
      <c r="Z18" s="17"/>
      <c r="AA18" s="63"/>
      <c r="AB18" s="17">
        <v>11</v>
      </c>
      <c r="AC18" s="63">
        <f>23755.89/AB18</f>
        <v>2159.6263636363637</v>
      </c>
      <c r="AD18" s="33">
        <f>935.03/AB18</f>
        <v>85.00272727272727</v>
      </c>
      <c r="AE18" s="17"/>
      <c r="AF18" s="63"/>
      <c r="AG18" s="17">
        <v>10</v>
      </c>
      <c r="AH18" s="63">
        <f>20695.26/AG18</f>
        <v>2069.526</v>
      </c>
      <c r="AI18" s="33">
        <f>845/AG18</f>
        <v>84.5</v>
      </c>
      <c r="AJ18" s="17"/>
      <c r="AK18" s="63"/>
    </row>
    <row r="19" spans="1:37" ht="18" customHeight="1">
      <c r="A19" s="169"/>
      <c r="B19" s="6" t="s">
        <v>15</v>
      </c>
      <c r="C19" s="45"/>
      <c r="D19" s="65"/>
      <c r="E19" s="33"/>
      <c r="F19" s="64"/>
      <c r="G19" s="64"/>
      <c r="H19" s="17"/>
      <c r="I19" s="63"/>
      <c r="J19" s="33"/>
      <c r="K19" s="17"/>
      <c r="L19" s="65"/>
      <c r="M19" s="17">
        <v>2</v>
      </c>
      <c r="N19" s="63">
        <v>1167.9879999999998</v>
      </c>
      <c r="O19" s="33">
        <v>50</v>
      </c>
      <c r="P19" s="17"/>
      <c r="Q19" s="65"/>
      <c r="R19" s="17">
        <v>4</v>
      </c>
      <c r="S19" s="63">
        <v>814.9826753246755</v>
      </c>
      <c r="T19" s="33">
        <v>33.923701298701296</v>
      </c>
      <c r="U19" s="17"/>
      <c r="V19" s="65"/>
      <c r="W19" s="17"/>
      <c r="X19" s="87"/>
      <c r="Y19" s="87"/>
      <c r="Z19" s="17"/>
      <c r="AA19" s="65"/>
      <c r="AB19" s="17"/>
      <c r="AC19" s="87"/>
      <c r="AD19" s="87"/>
      <c r="AE19" s="17"/>
      <c r="AF19" s="65"/>
      <c r="AG19" s="17"/>
      <c r="AH19" s="87"/>
      <c r="AI19" s="87"/>
      <c r="AJ19" s="17"/>
      <c r="AK19" s="65"/>
    </row>
    <row r="20" spans="1:37" ht="18" customHeight="1">
      <c r="A20" s="169"/>
      <c r="B20" s="6" t="s">
        <v>16</v>
      </c>
      <c r="C20" s="45">
        <v>8</v>
      </c>
      <c r="D20" s="63">
        <f>65149/8</f>
        <v>8143.625</v>
      </c>
      <c r="E20" s="33">
        <f>3105.69/C20</f>
        <v>388.21125</v>
      </c>
      <c r="F20" s="64"/>
      <c r="G20" s="64"/>
      <c r="H20" s="17">
        <v>20</v>
      </c>
      <c r="I20" s="63">
        <f>15852.79/H20</f>
        <v>792.6395</v>
      </c>
      <c r="J20" s="33">
        <f>2699/H20</f>
        <v>134.95</v>
      </c>
      <c r="K20" s="17"/>
      <c r="L20" s="63"/>
      <c r="M20" s="17">
        <v>20</v>
      </c>
      <c r="N20" s="63">
        <v>3098.8168514502863</v>
      </c>
      <c r="O20" s="33">
        <v>122.075</v>
      </c>
      <c r="P20" s="17"/>
      <c r="Q20" s="63"/>
      <c r="R20" s="17">
        <v>23</v>
      </c>
      <c r="S20" s="63">
        <v>2745.8695652173915</v>
      </c>
      <c r="T20" s="33">
        <v>114.29619565217398</v>
      </c>
      <c r="U20" s="17"/>
      <c r="V20" s="63"/>
      <c r="W20" s="17">
        <v>27</v>
      </c>
      <c r="X20" s="63">
        <v>2023.1726148148155</v>
      </c>
      <c r="Y20" s="33">
        <v>84.22157407407407</v>
      </c>
      <c r="Z20" s="17"/>
      <c r="AA20" s="63"/>
      <c r="AB20" s="17">
        <v>27</v>
      </c>
      <c r="AC20" s="63">
        <f>58251.31/AB20</f>
        <v>2157.455925925926</v>
      </c>
      <c r="AD20" s="33">
        <f>2374.22/AB20</f>
        <v>87.93407407407406</v>
      </c>
      <c r="AE20" s="17"/>
      <c r="AF20" s="63"/>
      <c r="AG20" s="17">
        <v>31</v>
      </c>
      <c r="AH20" s="63">
        <f>68344.64/AG20</f>
        <v>2204.6658064516128</v>
      </c>
      <c r="AI20" s="33">
        <f>2809/AG20</f>
        <v>90.61290322580645</v>
      </c>
      <c r="AJ20" s="17"/>
      <c r="AK20" s="63"/>
    </row>
    <row r="21" spans="1:37" ht="18" customHeight="1">
      <c r="A21" s="169"/>
      <c r="B21" s="6" t="s">
        <v>17</v>
      </c>
      <c r="C21" s="45"/>
      <c r="D21" s="63"/>
      <c r="E21" s="33"/>
      <c r="F21" s="64"/>
      <c r="G21" s="64"/>
      <c r="H21" s="17"/>
      <c r="I21" s="63"/>
      <c r="J21" s="33"/>
      <c r="K21" s="17"/>
      <c r="L21" s="63"/>
      <c r="M21" s="17">
        <v>0</v>
      </c>
      <c r="N21" s="63"/>
      <c r="O21" s="33"/>
      <c r="P21" s="17"/>
      <c r="Q21" s="63"/>
      <c r="R21" s="17">
        <v>0</v>
      </c>
      <c r="S21" s="63">
        <v>0</v>
      </c>
      <c r="T21" s="33">
        <v>0</v>
      </c>
      <c r="U21" s="17"/>
      <c r="V21" s="63"/>
      <c r="W21" s="17"/>
      <c r="X21" s="87"/>
      <c r="Y21" s="87"/>
      <c r="Z21" s="17"/>
      <c r="AA21" s="63"/>
      <c r="AB21" s="17"/>
      <c r="AC21" s="87"/>
      <c r="AD21" s="87"/>
      <c r="AE21" s="17"/>
      <c r="AF21" s="63"/>
      <c r="AG21" s="17"/>
      <c r="AH21" s="87"/>
      <c r="AI21" s="87"/>
      <c r="AJ21" s="17"/>
      <c r="AK21" s="63"/>
    </row>
    <row r="22" spans="1:37" ht="18" customHeight="1">
      <c r="A22" s="169"/>
      <c r="B22" s="6" t="s">
        <v>90</v>
      </c>
      <c r="C22" s="45"/>
      <c r="D22" s="63"/>
      <c r="E22" s="33"/>
      <c r="F22" s="64"/>
      <c r="G22" s="64"/>
      <c r="H22" s="17"/>
      <c r="I22" s="63"/>
      <c r="J22" s="33"/>
      <c r="K22" s="17"/>
      <c r="L22" s="63"/>
      <c r="M22" s="17"/>
      <c r="N22" s="63"/>
      <c r="O22" s="33"/>
      <c r="P22" s="17"/>
      <c r="Q22" s="63"/>
      <c r="R22" s="17"/>
      <c r="S22" s="63"/>
      <c r="T22" s="33"/>
      <c r="U22" s="17"/>
      <c r="V22" s="63"/>
      <c r="W22" s="17">
        <v>10</v>
      </c>
      <c r="X22" s="63">
        <v>2776.3731833333327</v>
      </c>
      <c r="Y22" s="33">
        <v>115.59416666666667</v>
      </c>
      <c r="Z22" s="87"/>
      <c r="AA22" s="28"/>
      <c r="AB22" s="17">
        <v>28</v>
      </c>
      <c r="AC22" s="63">
        <f>56981.91/AB22</f>
        <v>2035.0682142857145</v>
      </c>
      <c r="AD22" s="33">
        <f>2248.02/AB22</f>
        <v>80.28642857142857</v>
      </c>
      <c r="AE22" s="87"/>
      <c r="AF22" s="28"/>
      <c r="AG22" s="17">
        <v>26</v>
      </c>
      <c r="AH22" s="63">
        <f>45729.21/AG22</f>
        <v>1758.815769230769</v>
      </c>
      <c r="AI22" s="33">
        <f>1875/AG22</f>
        <v>72.11538461538461</v>
      </c>
      <c r="AJ22" s="87"/>
      <c r="AK22" s="28"/>
    </row>
    <row r="23" spans="1:37" ht="18" customHeight="1">
      <c r="A23" s="169"/>
      <c r="B23" s="6" t="s">
        <v>18</v>
      </c>
      <c r="C23" s="45">
        <v>11</v>
      </c>
      <c r="D23" s="63">
        <f>35664.55/C23</f>
        <v>3242.2318181818187</v>
      </c>
      <c r="E23" s="33">
        <f>1530.83/C23</f>
        <v>139.16636363636363</v>
      </c>
      <c r="F23" s="64"/>
      <c r="G23" s="64"/>
      <c r="H23" s="17">
        <v>10</v>
      </c>
      <c r="I23" s="63">
        <f>8067.73/H23</f>
        <v>806.7729999999999</v>
      </c>
      <c r="J23" s="33">
        <f>1457/H23</f>
        <v>145.7</v>
      </c>
      <c r="K23" s="17"/>
      <c r="L23" s="63"/>
      <c r="M23" s="17">
        <v>11</v>
      </c>
      <c r="N23" s="63">
        <v>2707.1670385250263</v>
      </c>
      <c r="O23" s="33">
        <v>124.75363636363636</v>
      </c>
      <c r="P23" s="17"/>
      <c r="Q23" s="63"/>
      <c r="R23" s="17">
        <v>17</v>
      </c>
      <c r="S23" s="63">
        <v>2045.8308324420675</v>
      </c>
      <c r="T23" s="33">
        <v>83.49393621084796</v>
      </c>
      <c r="U23" s="17"/>
      <c r="V23" s="63"/>
      <c r="W23" s="17">
        <v>18</v>
      </c>
      <c r="X23" s="63">
        <v>1817.6253018518519</v>
      </c>
      <c r="Y23" s="33">
        <v>75.85087962962962</v>
      </c>
      <c r="Z23" s="17"/>
      <c r="AA23" s="63"/>
      <c r="AB23" s="17">
        <v>16</v>
      </c>
      <c r="AC23" s="63">
        <f>44591.23/AB23</f>
        <v>2786.951875</v>
      </c>
      <c r="AD23" s="33">
        <f>1794.3/AB23</f>
        <v>112.14375</v>
      </c>
      <c r="AE23" s="17"/>
      <c r="AF23" s="63"/>
      <c r="AG23" s="17">
        <v>34</v>
      </c>
      <c r="AH23" s="63">
        <f>48276.09/AG23</f>
        <v>1419.885</v>
      </c>
      <c r="AI23" s="33">
        <f>1993/AG23</f>
        <v>58.61764705882353</v>
      </c>
      <c r="AJ23" s="17"/>
      <c r="AK23" s="63"/>
    </row>
    <row r="24" spans="1:37" s="60" customFormat="1" ht="18" customHeight="1">
      <c r="A24" s="169"/>
      <c r="B24" s="44" t="s">
        <v>19</v>
      </c>
      <c r="C24" s="44">
        <f>SUM(C14:C23)</f>
        <v>51</v>
      </c>
      <c r="D24" s="20">
        <f>261755.36/C24</f>
        <v>5132.458039215686</v>
      </c>
      <c r="E24" s="59">
        <f>10760.39/C24</f>
        <v>210.98803921568626</v>
      </c>
      <c r="F24" s="59"/>
      <c r="G24" s="59"/>
      <c r="H24" s="56">
        <f>SUM(H14:H23)</f>
        <v>61</v>
      </c>
      <c r="I24" s="20">
        <f>59655.4/H24</f>
        <v>977.9573770491803</v>
      </c>
      <c r="J24" s="59">
        <f>10851/H24</f>
        <v>177.88524590163934</v>
      </c>
      <c r="K24" s="56"/>
      <c r="L24" s="20"/>
      <c r="M24" s="56">
        <f>SUM(M14:M23)</f>
        <v>81</v>
      </c>
      <c r="N24" s="20">
        <f>233954.35/M24</f>
        <v>2888.3253086419754</v>
      </c>
      <c r="O24" s="59">
        <f>10432.25/M24</f>
        <v>128.79320987654322</v>
      </c>
      <c r="P24" s="56"/>
      <c r="Q24" s="20"/>
      <c r="R24" s="56">
        <f>SUM(R14:R23)</f>
        <v>84</v>
      </c>
      <c r="S24" s="20">
        <v>2594.452753968254</v>
      </c>
      <c r="T24" s="59">
        <v>112.76721088435373</v>
      </c>
      <c r="U24" s="56"/>
      <c r="V24" s="20"/>
      <c r="W24" s="56">
        <f>SUM(W14:W23)</f>
        <v>95</v>
      </c>
      <c r="X24" s="20">
        <v>1970.7391828070174</v>
      </c>
      <c r="Y24" s="59">
        <v>82.07</v>
      </c>
      <c r="Z24" s="56"/>
      <c r="AA24" s="20"/>
      <c r="AB24" s="56">
        <f>SUM(AB14:AB23)</f>
        <v>119</v>
      </c>
      <c r="AC24" s="20">
        <f>272711.21/AB24</f>
        <v>2291.6908403361344</v>
      </c>
      <c r="AD24" s="59">
        <f>10955.22/AB24</f>
        <v>92.06067226890755</v>
      </c>
      <c r="AE24" s="56"/>
      <c r="AF24" s="20"/>
      <c r="AG24" s="56">
        <f>SUM(AG14:AG23)</f>
        <v>145</v>
      </c>
      <c r="AH24" s="20">
        <f>272711.21/AG24</f>
        <v>1880.7669655172415</v>
      </c>
      <c r="AI24" s="59">
        <f>10955.22/AG24</f>
        <v>75.55324137931034</v>
      </c>
      <c r="AJ24" s="56"/>
      <c r="AK24" s="20"/>
    </row>
    <row r="25" spans="1:37" ht="18" customHeight="1">
      <c r="A25" s="164" t="s">
        <v>64</v>
      </c>
      <c r="B25" s="6" t="s">
        <v>10</v>
      </c>
      <c r="C25" s="74"/>
      <c r="D25" s="75"/>
      <c r="E25" s="36"/>
      <c r="F25" s="76"/>
      <c r="G25" s="76"/>
      <c r="H25" s="74"/>
      <c r="I25" s="75"/>
      <c r="J25" s="36"/>
      <c r="K25" s="74"/>
      <c r="L25" s="75"/>
      <c r="M25" s="74"/>
      <c r="N25" s="75"/>
      <c r="O25" s="36"/>
      <c r="P25" s="74"/>
      <c r="Q25" s="75"/>
      <c r="R25" s="74"/>
      <c r="S25" s="75"/>
      <c r="T25" s="36"/>
      <c r="U25" s="74"/>
      <c r="V25" s="75"/>
      <c r="W25" s="74"/>
      <c r="X25" s="75"/>
      <c r="Y25" s="36"/>
      <c r="Z25" s="74"/>
      <c r="AA25" s="75"/>
      <c r="AB25" s="74"/>
      <c r="AC25" s="75"/>
      <c r="AD25" s="36"/>
      <c r="AE25" s="74"/>
      <c r="AF25" s="75"/>
      <c r="AG25" s="74"/>
      <c r="AH25" s="75"/>
      <c r="AI25" s="36"/>
      <c r="AJ25" s="74"/>
      <c r="AK25" s="75"/>
    </row>
    <row r="26" spans="1:37" s="57" customFormat="1" ht="18" customHeight="1">
      <c r="A26" s="164"/>
      <c r="B26" s="58" t="s">
        <v>11</v>
      </c>
      <c r="C26" s="74">
        <v>8</v>
      </c>
      <c r="D26" s="75">
        <f>54094.89/C26</f>
        <v>6761.86125</v>
      </c>
      <c r="E26" s="29">
        <f>2442.21/C26</f>
        <v>305.27625</v>
      </c>
      <c r="F26" s="76"/>
      <c r="G26" s="76"/>
      <c r="H26" s="74">
        <v>6</v>
      </c>
      <c r="I26" s="75">
        <f>62110.19/6</f>
        <v>10351.698333333334</v>
      </c>
      <c r="J26" s="29">
        <f>2815/6</f>
        <v>469.1666666666667</v>
      </c>
      <c r="K26" s="74"/>
      <c r="L26" s="75"/>
      <c r="M26" s="74">
        <v>8</v>
      </c>
      <c r="N26" s="75">
        <f>71235.8/M26</f>
        <v>8904.475</v>
      </c>
      <c r="O26" s="29">
        <f>3123.39/M26</f>
        <v>390.42375</v>
      </c>
      <c r="P26" s="118">
        <f>N26/O26</f>
        <v>22.80720627267168</v>
      </c>
      <c r="Q26" s="75"/>
      <c r="R26" s="74">
        <v>8</v>
      </c>
      <c r="S26" s="75">
        <v>6649.235625000001</v>
      </c>
      <c r="T26" s="29">
        <v>276.81</v>
      </c>
      <c r="U26" s="118"/>
      <c r="V26" s="75"/>
      <c r="W26" s="74">
        <v>6</v>
      </c>
      <c r="X26" s="75">
        <v>7128.371666666667</v>
      </c>
      <c r="Y26" s="29">
        <v>333.645</v>
      </c>
      <c r="Z26" s="118"/>
      <c r="AA26" s="75"/>
      <c r="AB26" s="74">
        <v>6</v>
      </c>
      <c r="AC26" s="75">
        <f>41008.36/AB26</f>
        <v>6834.7266666666665</v>
      </c>
      <c r="AD26" s="29">
        <f>2309/AB26</f>
        <v>384.8333333333333</v>
      </c>
      <c r="AE26" s="118"/>
      <c r="AF26" s="75"/>
      <c r="AG26" s="74">
        <v>5</v>
      </c>
      <c r="AH26" s="75">
        <f>38073.77/AG26</f>
        <v>7614.753999999999</v>
      </c>
      <c r="AI26" s="29">
        <f>2214/AG26</f>
        <v>442.8</v>
      </c>
      <c r="AJ26" s="118"/>
      <c r="AK26" s="75"/>
    </row>
    <row r="27" spans="1:37" s="57" customFormat="1" ht="18" customHeight="1">
      <c r="A27" s="164"/>
      <c r="B27" s="58" t="s">
        <v>12</v>
      </c>
      <c r="C27" s="74"/>
      <c r="D27" s="75"/>
      <c r="E27" s="36"/>
      <c r="F27" s="76"/>
      <c r="G27" s="76"/>
      <c r="H27" s="74"/>
      <c r="I27" s="75"/>
      <c r="J27" s="36"/>
      <c r="K27" s="74"/>
      <c r="L27" s="75"/>
      <c r="M27" s="74"/>
      <c r="N27" s="75"/>
      <c r="O27" s="36"/>
      <c r="P27" s="74"/>
      <c r="Q27" s="75"/>
      <c r="R27" s="74"/>
      <c r="S27" s="75"/>
      <c r="T27" s="36"/>
      <c r="U27" s="74"/>
      <c r="V27" s="75"/>
      <c r="W27" s="74"/>
      <c r="X27" s="75"/>
      <c r="Y27" s="36"/>
      <c r="Z27" s="74"/>
      <c r="AA27" s="75"/>
      <c r="AB27" s="74"/>
      <c r="AC27" s="75"/>
      <c r="AD27" s="36"/>
      <c r="AE27" s="74"/>
      <c r="AF27" s="75"/>
      <c r="AG27" s="74"/>
      <c r="AH27" s="75"/>
      <c r="AI27" s="36"/>
      <c r="AJ27" s="74"/>
      <c r="AK27" s="75"/>
    </row>
    <row r="28" spans="1:37" s="57" customFormat="1" ht="18" customHeight="1">
      <c r="A28" s="164"/>
      <c r="B28" s="58" t="s">
        <v>13</v>
      </c>
      <c r="C28" s="74">
        <v>1</v>
      </c>
      <c r="D28" s="75">
        <v>6234.53</v>
      </c>
      <c r="E28" s="29">
        <v>319.72</v>
      </c>
      <c r="F28" s="76"/>
      <c r="G28" s="76"/>
      <c r="H28" s="74">
        <v>1</v>
      </c>
      <c r="I28" s="75">
        <f>4650.61/1</f>
        <v>4650.61</v>
      </c>
      <c r="J28" s="29">
        <v>364</v>
      </c>
      <c r="K28" s="74"/>
      <c r="L28" s="75"/>
      <c r="M28" s="74">
        <v>1</v>
      </c>
      <c r="N28" s="75">
        <f>4040.72/M28</f>
        <v>4040.72</v>
      </c>
      <c r="O28" s="29">
        <f>166/M28</f>
        <v>166</v>
      </c>
      <c r="P28" s="118">
        <f>N28/O28</f>
        <v>24.34168674698795</v>
      </c>
      <c r="Q28" s="75"/>
      <c r="R28" s="74">
        <v>1</v>
      </c>
      <c r="S28" s="75">
        <v>4621.56</v>
      </c>
      <c r="T28" s="29">
        <v>183</v>
      </c>
      <c r="U28" s="118"/>
      <c r="V28" s="75"/>
      <c r="W28" s="74"/>
      <c r="X28" s="75"/>
      <c r="Y28" s="29"/>
      <c r="Z28" s="118"/>
      <c r="AA28" s="75"/>
      <c r="AB28" s="74"/>
      <c r="AC28" s="75"/>
      <c r="AD28" s="29"/>
      <c r="AE28" s="118"/>
      <c r="AF28" s="75"/>
      <c r="AG28" s="74"/>
      <c r="AH28" s="75"/>
      <c r="AI28" s="29"/>
      <c r="AJ28" s="118"/>
      <c r="AK28" s="75"/>
    </row>
    <row r="29" spans="1:37" ht="18" customHeight="1">
      <c r="A29" s="164"/>
      <c r="B29" s="6" t="s">
        <v>14</v>
      </c>
      <c r="C29" s="74"/>
      <c r="D29" s="75"/>
      <c r="E29" s="36"/>
      <c r="F29" s="76"/>
      <c r="G29" s="76"/>
      <c r="H29" s="74"/>
      <c r="I29" s="75"/>
      <c r="J29" s="36"/>
      <c r="K29" s="74"/>
      <c r="L29" s="75"/>
      <c r="M29" s="74"/>
      <c r="N29" s="75"/>
      <c r="O29" s="36"/>
      <c r="P29" s="74"/>
      <c r="Q29" s="75"/>
      <c r="R29" s="74"/>
      <c r="S29" s="75"/>
      <c r="T29" s="36"/>
      <c r="U29" s="74"/>
      <c r="V29" s="75"/>
      <c r="W29" s="74"/>
      <c r="X29" s="75"/>
      <c r="Y29" s="36"/>
      <c r="Z29" s="74"/>
      <c r="AA29" s="75"/>
      <c r="AB29" s="74"/>
      <c r="AC29" s="75"/>
      <c r="AD29" s="36"/>
      <c r="AE29" s="74"/>
      <c r="AF29" s="75"/>
      <c r="AG29" s="74"/>
      <c r="AH29" s="75"/>
      <c r="AI29" s="36"/>
      <c r="AJ29" s="74"/>
      <c r="AK29" s="75"/>
    </row>
    <row r="30" spans="1:37" ht="18" customHeight="1">
      <c r="A30" s="164"/>
      <c r="B30" s="6" t="s">
        <v>15</v>
      </c>
      <c r="C30" s="74"/>
      <c r="D30" s="75"/>
      <c r="E30" s="36"/>
      <c r="F30" s="76"/>
      <c r="G30" s="76"/>
      <c r="H30" s="74"/>
      <c r="I30" s="75"/>
      <c r="J30" s="36"/>
      <c r="K30" s="74"/>
      <c r="L30" s="75"/>
      <c r="M30" s="74"/>
      <c r="N30" s="75"/>
      <c r="O30" s="36"/>
      <c r="P30" s="74"/>
      <c r="Q30" s="75"/>
      <c r="R30" s="74"/>
      <c r="S30" s="75"/>
      <c r="T30" s="36"/>
      <c r="U30" s="74"/>
      <c r="V30" s="75"/>
      <c r="W30" s="74"/>
      <c r="X30" s="75"/>
      <c r="Y30" s="36"/>
      <c r="Z30" s="74"/>
      <c r="AA30" s="75"/>
      <c r="AB30" s="74"/>
      <c r="AC30" s="75"/>
      <c r="AD30" s="36"/>
      <c r="AE30" s="74"/>
      <c r="AF30" s="75"/>
      <c r="AG30" s="74"/>
      <c r="AH30" s="75"/>
      <c r="AI30" s="36"/>
      <c r="AJ30" s="74"/>
      <c r="AK30" s="75"/>
    </row>
    <row r="31" spans="1:37" ht="18" customHeight="1">
      <c r="A31" s="164"/>
      <c r="B31" s="6" t="s">
        <v>16</v>
      </c>
      <c r="C31" s="74"/>
      <c r="D31" s="75"/>
      <c r="E31" s="36"/>
      <c r="F31" s="76"/>
      <c r="G31" s="76"/>
      <c r="H31" s="74"/>
      <c r="I31" s="75"/>
      <c r="J31" s="36"/>
      <c r="K31" s="74"/>
      <c r="L31" s="75"/>
      <c r="M31" s="74"/>
      <c r="N31" s="75"/>
      <c r="O31" s="36"/>
      <c r="P31" s="74"/>
      <c r="Q31" s="75"/>
      <c r="R31" s="74"/>
      <c r="S31" s="75"/>
      <c r="T31" s="36"/>
      <c r="U31" s="74"/>
      <c r="V31" s="75"/>
      <c r="W31" s="74"/>
      <c r="X31" s="75"/>
      <c r="Y31" s="36"/>
      <c r="Z31" s="74"/>
      <c r="AA31" s="75"/>
      <c r="AB31" s="74"/>
      <c r="AC31" s="75"/>
      <c r="AD31" s="36"/>
      <c r="AE31" s="74"/>
      <c r="AF31" s="75"/>
      <c r="AG31" s="74"/>
      <c r="AH31" s="75"/>
      <c r="AI31" s="36"/>
      <c r="AJ31" s="74"/>
      <c r="AK31" s="75"/>
    </row>
    <row r="32" spans="1:37" ht="18" customHeight="1">
      <c r="A32" s="164"/>
      <c r="B32" s="6" t="s">
        <v>17</v>
      </c>
      <c r="C32" s="74"/>
      <c r="D32" s="75"/>
      <c r="E32" s="36"/>
      <c r="F32" s="76"/>
      <c r="G32" s="76"/>
      <c r="H32" s="74"/>
      <c r="I32" s="75"/>
      <c r="J32" s="36"/>
      <c r="K32" s="74"/>
      <c r="L32" s="75"/>
      <c r="M32" s="74"/>
      <c r="N32" s="75"/>
      <c r="O32" s="36"/>
      <c r="P32" s="74"/>
      <c r="Q32" s="75"/>
      <c r="R32" s="74"/>
      <c r="S32" s="75"/>
      <c r="T32" s="36"/>
      <c r="U32" s="74"/>
      <c r="V32" s="75"/>
      <c r="W32" s="74"/>
      <c r="X32" s="75"/>
      <c r="Y32" s="36"/>
      <c r="Z32" s="74"/>
      <c r="AA32" s="75"/>
      <c r="AB32" s="74"/>
      <c r="AC32" s="75"/>
      <c r="AD32" s="36"/>
      <c r="AE32" s="74"/>
      <c r="AF32" s="75"/>
      <c r="AG32" s="74"/>
      <c r="AH32" s="75"/>
      <c r="AI32" s="36"/>
      <c r="AJ32" s="74"/>
      <c r="AK32" s="75"/>
    </row>
    <row r="33" spans="1:37" ht="18" customHeight="1">
      <c r="A33" s="164"/>
      <c r="B33" s="6" t="s">
        <v>90</v>
      </c>
      <c r="C33" s="74"/>
      <c r="D33" s="75"/>
      <c r="E33" s="36"/>
      <c r="F33" s="76"/>
      <c r="G33" s="76"/>
      <c r="H33" s="74"/>
      <c r="I33" s="75"/>
      <c r="J33" s="36"/>
      <c r="K33" s="74"/>
      <c r="L33" s="75"/>
      <c r="M33" s="74"/>
      <c r="N33" s="75"/>
      <c r="O33" s="36"/>
      <c r="P33" s="74"/>
      <c r="Q33" s="75"/>
      <c r="R33" s="74"/>
      <c r="S33" s="75"/>
      <c r="T33" s="36"/>
      <c r="U33" s="74"/>
      <c r="V33" s="75"/>
      <c r="W33" s="74">
        <v>1</v>
      </c>
      <c r="X33" s="75">
        <v>4271.83</v>
      </c>
      <c r="Y33" s="29">
        <v>144</v>
      </c>
      <c r="Z33" s="74"/>
      <c r="AA33" s="75"/>
      <c r="AB33" s="74">
        <v>1</v>
      </c>
      <c r="AC33" s="75">
        <f>4945.17/AB33</f>
        <v>4945.17</v>
      </c>
      <c r="AD33" s="29">
        <f>198/AB33</f>
        <v>198</v>
      </c>
      <c r="AE33" s="74"/>
      <c r="AF33" s="75"/>
      <c r="AG33" s="74">
        <v>1</v>
      </c>
      <c r="AH33" s="75">
        <f>5294.49/AG33</f>
        <v>5294.49</v>
      </c>
      <c r="AI33" s="29">
        <f>189.5/AG33</f>
        <v>189.5</v>
      </c>
      <c r="AJ33" s="74"/>
      <c r="AK33" s="75"/>
    </row>
    <row r="34" spans="1:37" ht="18" customHeight="1">
      <c r="A34" s="164"/>
      <c r="B34" s="6" t="s">
        <v>18</v>
      </c>
      <c r="C34" s="74"/>
      <c r="D34" s="75"/>
      <c r="E34" s="36"/>
      <c r="F34" s="76"/>
      <c r="G34" s="76"/>
      <c r="H34" s="74"/>
      <c r="I34" s="75"/>
      <c r="J34" s="36"/>
      <c r="K34" s="74"/>
      <c r="L34" s="75"/>
      <c r="M34" s="74"/>
      <c r="N34" s="75"/>
      <c r="O34" s="36"/>
      <c r="P34" s="74"/>
      <c r="Q34" s="75"/>
      <c r="R34" s="74"/>
      <c r="S34" s="75"/>
      <c r="T34" s="36"/>
      <c r="U34" s="74"/>
      <c r="V34" s="75"/>
      <c r="W34" s="74"/>
      <c r="X34" s="75"/>
      <c r="Y34" s="36"/>
      <c r="Z34" s="74"/>
      <c r="AA34" s="75"/>
      <c r="AB34" s="74"/>
      <c r="AC34" s="75"/>
      <c r="AD34" s="36"/>
      <c r="AE34" s="74"/>
      <c r="AF34" s="75"/>
      <c r="AG34" s="74"/>
      <c r="AH34" s="75"/>
      <c r="AI34" s="36"/>
      <c r="AJ34" s="74"/>
      <c r="AK34" s="75"/>
    </row>
    <row r="35" spans="1:37" s="60" customFormat="1" ht="18" customHeight="1">
      <c r="A35" s="164"/>
      <c r="B35" s="44" t="s">
        <v>19</v>
      </c>
      <c r="C35" s="56">
        <f>SUM(C26:C32)</f>
        <v>9</v>
      </c>
      <c r="D35" s="20">
        <f>60329.42/C35</f>
        <v>6703.268888888889</v>
      </c>
      <c r="E35" s="55">
        <f>2761.93/C35</f>
        <v>306.88111111111107</v>
      </c>
      <c r="F35" s="55"/>
      <c r="G35" s="55"/>
      <c r="H35" s="56">
        <f>SUM(H25:H34)</f>
        <v>7</v>
      </c>
      <c r="I35" s="20">
        <f>66670.8/H35</f>
        <v>9524.4</v>
      </c>
      <c r="J35" s="55">
        <f>3179/H35</f>
        <v>454.14285714285717</v>
      </c>
      <c r="K35" s="56"/>
      <c r="L35" s="20"/>
      <c r="M35" s="56">
        <f>SUM(M25:M34)</f>
        <v>9</v>
      </c>
      <c r="N35" s="20">
        <f>75275.82/M35</f>
        <v>8363.980000000001</v>
      </c>
      <c r="O35" s="55">
        <f>3289.39/M35</f>
        <v>365.48777777777775</v>
      </c>
      <c r="P35" s="123">
        <f>N35/O35</f>
        <v>22.884431459936348</v>
      </c>
      <c r="Q35" s="20"/>
      <c r="R35" s="56">
        <f>SUM(R25:R34)</f>
        <v>9</v>
      </c>
      <c r="S35" s="20">
        <v>6423.94</v>
      </c>
      <c r="T35" s="55">
        <v>266.39</v>
      </c>
      <c r="U35" s="123"/>
      <c r="V35" s="20"/>
      <c r="W35" s="56">
        <v>7</v>
      </c>
      <c r="X35" s="20">
        <v>6720.29</v>
      </c>
      <c r="Y35" s="55">
        <v>306.55</v>
      </c>
      <c r="Z35" s="56"/>
      <c r="AA35" s="20"/>
      <c r="AB35" s="56">
        <f>SUM(AB25:AB34)</f>
        <v>7</v>
      </c>
      <c r="AC35" s="20">
        <f>45953.53/AB35</f>
        <v>6564.79</v>
      </c>
      <c r="AD35" s="55">
        <f>2507/AB35</f>
        <v>358.14285714285717</v>
      </c>
      <c r="AE35" s="56"/>
      <c r="AF35" s="20"/>
      <c r="AG35" s="56">
        <f>SUM(AG25:AG34)</f>
        <v>6</v>
      </c>
      <c r="AH35" s="20">
        <f>45953.53/AG35</f>
        <v>7658.921666666666</v>
      </c>
      <c r="AI35" s="55">
        <f>2507/AG35</f>
        <v>417.8333333333333</v>
      </c>
      <c r="AJ35" s="56"/>
      <c r="AK35" s="20"/>
    </row>
    <row r="36" spans="1:37" s="35" customFormat="1" ht="18" customHeight="1">
      <c r="A36" s="165" t="s">
        <v>72</v>
      </c>
      <c r="B36" s="6" t="s">
        <v>10</v>
      </c>
      <c r="C36" s="74"/>
      <c r="D36" s="75"/>
      <c r="E36" s="36"/>
      <c r="F36" s="76"/>
      <c r="G36" s="76"/>
      <c r="H36" s="74"/>
      <c r="I36" s="75"/>
      <c r="J36" s="36"/>
      <c r="K36" s="74"/>
      <c r="L36" s="77"/>
      <c r="M36" s="74"/>
      <c r="N36" s="75"/>
      <c r="O36" s="36"/>
      <c r="P36" s="74"/>
      <c r="Q36" s="77"/>
      <c r="R36" s="74"/>
      <c r="S36" s="75"/>
      <c r="T36" s="36"/>
      <c r="U36" s="74"/>
      <c r="V36" s="77"/>
      <c r="W36" s="74"/>
      <c r="X36" s="75"/>
      <c r="Y36" s="36"/>
      <c r="Z36" s="74"/>
      <c r="AA36" s="77"/>
      <c r="AB36" s="74"/>
      <c r="AC36" s="75"/>
      <c r="AD36" s="36"/>
      <c r="AE36" s="74"/>
      <c r="AF36" s="77"/>
      <c r="AG36" s="74"/>
      <c r="AH36" s="75"/>
      <c r="AI36" s="36"/>
      <c r="AJ36" s="74"/>
      <c r="AK36" s="77"/>
    </row>
    <row r="37" spans="1:37" s="35" customFormat="1" ht="18" customHeight="1">
      <c r="A37" s="165"/>
      <c r="B37" s="6" t="s">
        <v>11</v>
      </c>
      <c r="C37" s="74">
        <f>5+3</f>
        <v>8</v>
      </c>
      <c r="D37" s="75">
        <f>(8394.57+11171.25)/C37</f>
        <v>2445.7275</v>
      </c>
      <c r="E37" s="36"/>
      <c r="F37" s="76"/>
      <c r="G37" s="76"/>
      <c r="H37" s="74">
        <f>3+7</f>
        <v>10</v>
      </c>
      <c r="I37" s="75">
        <f>(4848.36+120+12554.08)/H37</f>
        <v>1752.244</v>
      </c>
      <c r="J37" s="29">
        <f>24/3</f>
        <v>8</v>
      </c>
      <c r="K37" s="74"/>
      <c r="L37" s="77"/>
      <c r="M37" s="74">
        <f>2+9</f>
        <v>11</v>
      </c>
      <c r="N37" s="75">
        <v>1445.3227272727272</v>
      </c>
      <c r="O37" s="29">
        <v>56.81818181818182</v>
      </c>
      <c r="P37" s="89"/>
      <c r="Q37" s="77"/>
      <c r="R37" s="74">
        <v>7</v>
      </c>
      <c r="S37" s="75">
        <v>1452.9665142857143</v>
      </c>
      <c r="T37" s="29">
        <v>46.142857142857146</v>
      </c>
      <c r="U37" s="89"/>
      <c r="V37" s="77"/>
      <c r="W37" s="74">
        <v>7</v>
      </c>
      <c r="X37" s="75">
        <v>2725.4537142857143</v>
      </c>
      <c r="Y37" s="29">
        <v>45.42857142857143</v>
      </c>
      <c r="Z37" s="89"/>
      <c r="AA37" s="77"/>
      <c r="AB37" s="74">
        <v>6</v>
      </c>
      <c r="AC37" s="75">
        <f>(3197.48+6229.72+1243.28)/AB37</f>
        <v>1778.4133333333336</v>
      </c>
      <c r="AD37" s="29">
        <f>(10+190)/AB37</f>
        <v>33.333333333333336</v>
      </c>
      <c r="AE37" s="89"/>
      <c r="AF37" s="77"/>
      <c r="AG37" s="74">
        <f>4+2</f>
        <v>6</v>
      </c>
      <c r="AH37" s="75">
        <f>(5000+6442.04)/AG37</f>
        <v>1907.006666666667</v>
      </c>
      <c r="AI37" s="29">
        <f>(236+20)/AG37</f>
        <v>42.666666666666664</v>
      </c>
      <c r="AJ37" s="89"/>
      <c r="AK37" s="77"/>
    </row>
    <row r="38" spans="1:37" s="35" customFormat="1" ht="18" customHeight="1">
      <c r="A38" s="165"/>
      <c r="B38" s="6" t="s">
        <v>12</v>
      </c>
      <c r="C38" s="74">
        <v>1</v>
      </c>
      <c r="D38" s="75"/>
      <c r="E38" s="36"/>
      <c r="F38" s="76"/>
      <c r="G38" s="76"/>
      <c r="H38" s="74"/>
      <c r="I38" s="78"/>
      <c r="J38" s="78"/>
      <c r="K38" s="74"/>
      <c r="L38" s="77"/>
      <c r="M38" s="74"/>
      <c r="N38" s="78"/>
      <c r="O38" s="29"/>
      <c r="P38" s="74"/>
      <c r="Q38" s="77"/>
      <c r="R38" s="74">
        <v>1</v>
      </c>
      <c r="S38" s="78">
        <v>0</v>
      </c>
      <c r="T38" s="29">
        <v>123</v>
      </c>
      <c r="U38" s="74"/>
      <c r="V38" s="77"/>
      <c r="W38" s="74"/>
      <c r="X38" s="78"/>
      <c r="Y38" s="91"/>
      <c r="Z38" s="74"/>
      <c r="AA38" s="77"/>
      <c r="AB38" s="74"/>
      <c r="AC38" s="78"/>
      <c r="AD38" s="91"/>
      <c r="AE38" s="74"/>
      <c r="AF38" s="77"/>
      <c r="AG38" s="74"/>
      <c r="AH38" s="78"/>
      <c r="AI38" s="91"/>
      <c r="AJ38" s="74"/>
      <c r="AK38" s="77"/>
    </row>
    <row r="39" spans="1:37" s="35" customFormat="1" ht="18" customHeight="1">
      <c r="A39" s="165"/>
      <c r="B39" s="6" t="s">
        <v>13</v>
      </c>
      <c r="C39" s="74">
        <f>1+3</f>
        <v>4</v>
      </c>
      <c r="D39" s="75">
        <f>(86.48+5996.32)/C39</f>
        <v>1520.6999999999998</v>
      </c>
      <c r="E39" s="36"/>
      <c r="F39" s="76"/>
      <c r="G39" s="76"/>
      <c r="H39" s="74">
        <f>2+3</f>
        <v>5</v>
      </c>
      <c r="I39" s="75">
        <f>(86.48+1384.62+5813.06)/H39</f>
        <v>1456.8319999999999</v>
      </c>
      <c r="J39" s="29">
        <f>18/2</f>
        <v>9</v>
      </c>
      <c r="K39" s="74"/>
      <c r="L39" s="77"/>
      <c r="M39" s="74">
        <v>2</v>
      </c>
      <c r="N39" s="75">
        <v>3406.63</v>
      </c>
      <c r="O39" s="29">
        <v>34.5</v>
      </c>
      <c r="P39" s="89"/>
      <c r="Q39" s="77"/>
      <c r="R39" s="74">
        <v>1</v>
      </c>
      <c r="S39" s="75">
        <v>6726.67</v>
      </c>
      <c r="T39" s="29">
        <v>16</v>
      </c>
      <c r="U39" s="89"/>
      <c r="V39" s="77"/>
      <c r="W39" s="74"/>
      <c r="X39" s="75"/>
      <c r="Y39" s="29"/>
      <c r="Z39" s="89"/>
      <c r="AA39" s="77"/>
      <c r="AB39" s="74"/>
      <c r="AC39" s="75"/>
      <c r="AD39" s="29"/>
      <c r="AE39" s="89"/>
      <c r="AF39" s="77"/>
      <c r="AG39" s="74"/>
      <c r="AH39" s="75"/>
      <c r="AI39" s="29"/>
      <c r="AJ39" s="89"/>
      <c r="AK39" s="77"/>
    </row>
    <row r="40" spans="1:37" s="35" customFormat="1" ht="18" customHeight="1">
      <c r="A40" s="165"/>
      <c r="B40" s="6" t="s">
        <v>14</v>
      </c>
      <c r="C40" s="74">
        <v>2</v>
      </c>
      <c r="D40" s="75"/>
      <c r="E40" s="36"/>
      <c r="F40" s="76"/>
      <c r="G40" s="76"/>
      <c r="H40" s="74">
        <v>2</v>
      </c>
      <c r="I40" s="75"/>
      <c r="J40" s="36"/>
      <c r="K40" s="74"/>
      <c r="L40" s="77"/>
      <c r="M40" s="74">
        <v>3</v>
      </c>
      <c r="N40" s="75">
        <v>0</v>
      </c>
      <c r="O40" s="29">
        <v>22.666666666666668</v>
      </c>
      <c r="P40" s="89"/>
      <c r="Q40" s="77"/>
      <c r="R40" s="74">
        <f>1+1</f>
        <v>2</v>
      </c>
      <c r="S40" s="75">
        <v>1100</v>
      </c>
      <c r="T40" s="29">
        <v>60</v>
      </c>
      <c r="U40" s="89"/>
      <c r="V40" s="77"/>
      <c r="W40" s="74">
        <v>4</v>
      </c>
      <c r="X40" s="75">
        <v>735.5</v>
      </c>
      <c r="Y40" s="29">
        <v>15</v>
      </c>
      <c r="Z40" s="89"/>
      <c r="AA40" s="77"/>
      <c r="AB40" s="74">
        <v>5</v>
      </c>
      <c r="AC40" s="75">
        <f>(799+3729.84)/AB40</f>
        <v>905.768</v>
      </c>
      <c r="AD40" s="29">
        <f>(33+96)/AB40</f>
        <v>25.8</v>
      </c>
      <c r="AE40" s="89"/>
      <c r="AF40" s="77"/>
      <c r="AG40" s="74">
        <f>1+2</f>
        <v>3</v>
      </c>
      <c r="AH40" s="75">
        <f>925/AG40</f>
        <v>308.3333333333333</v>
      </c>
      <c r="AI40" s="29">
        <f>(40+20)/AG40</f>
        <v>20</v>
      </c>
      <c r="AJ40" s="89"/>
      <c r="AK40" s="77"/>
    </row>
    <row r="41" spans="1:37" s="35" customFormat="1" ht="18" customHeight="1">
      <c r="A41" s="165"/>
      <c r="B41" s="6" t="s">
        <v>15</v>
      </c>
      <c r="C41" s="74">
        <v>1</v>
      </c>
      <c r="D41" s="75">
        <v>5996.32</v>
      </c>
      <c r="E41" s="36"/>
      <c r="F41" s="76"/>
      <c r="G41" s="76"/>
      <c r="H41" s="74">
        <v>1</v>
      </c>
      <c r="I41" s="75">
        <v>5813.06</v>
      </c>
      <c r="J41" s="36"/>
      <c r="K41" s="74"/>
      <c r="L41" s="77"/>
      <c r="M41" s="74">
        <v>1</v>
      </c>
      <c r="N41" s="75">
        <v>6813.26</v>
      </c>
      <c r="O41" s="29">
        <v>16</v>
      </c>
      <c r="P41" s="89"/>
      <c r="Q41" s="77"/>
      <c r="R41" s="74">
        <v>1</v>
      </c>
      <c r="S41" s="75">
        <v>6726.67</v>
      </c>
      <c r="T41" s="29">
        <v>16</v>
      </c>
      <c r="U41" s="89"/>
      <c r="V41" s="77"/>
      <c r="W41" s="74"/>
      <c r="X41" s="75"/>
      <c r="Y41" s="91"/>
      <c r="Z41" s="89"/>
      <c r="AA41" s="77"/>
      <c r="AB41" s="74"/>
      <c r="AC41" s="75"/>
      <c r="AD41" s="91"/>
      <c r="AE41" s="89"/>
      <c r="AF41" s="77"/>
      <c r="AG41" s="74"/>
      <c r="AH41" s="75"/>
      <c r="AI41" s="91"/>
      <c r="AJ41" s="89"/>
      <c r="AK41" s="77"/>
    </row>
    <row r="42" spans="1:37" s="35" customFormat="1" ht="18" customHeight="1">
      <c r="A42" s="165"/>
      <c r="B42" s="6" t="s">
        <v>16</v>
      </c>
      <c r="C42" s="74">
        <f>1+1</f>
        <v>2</v>
      </c>
      <c r="D42" s="75">
        <v>1898.61</v>
      </c>
      <c r="E42" s="36"/>
      <c r="F42" s="76"/>
      <c r="G42" s="76"/>
      <c r="H42" s="74">
        <f>2+2</f>
        <v>4</v>
      </c>
      <c r="I42" s="75">
        <f>(2666.46+1866.67)/H42</f>
        <v>1133.2825</v>
      </c>
      <c r="J42" s="29">
        <f>17/2</f>
        <v>8.5</v>
      </c>
      <c r="K42" s="74"/>
      <c r="L42" s="77"/>
      <c r="M42" s="74">
        <f>3+2</f>
        <v>5</v>
      </c>
      <c r="N42" s="75">
        <v>934.39</v>
      </c>
      <c r="O42" s="29">
        <v>46.4</v>
      </c>
      <c r="P42" s="89"/>
      <c r="Q42" s="77"/>
      <c r="R42" s="74">
        <v>3</v>
      </c>
      <c r="S42" s="75">
        <v>2246.866666666667</v>
      </c>
      <c r="T42" s="29">
        <v>102.5</v>
      </c>
      <c r="U42" s="89"/>
      <c r="V42" s="77"/>
      <c r="W42" s="74">
        <v>5</v>
      </c>
      <c r="X42" s="75">
        <v>1507.8175999999999</v>
      </c>
      <c r="Y42" s="29">
        <v>40.4</v>
      </c>
      <c r="Z42" s="89"/>
      <c r="AA42" s="77"/>
      <c r="AB42" s="74">
        <v>6</v>
      </c>
      <c r="AC42" s="75">
        <f>(3331.74+1551.72+2486.56)/AB42</f>
        <v>1228.3366666666668</v>
      </c>
      <c r="AD42" s="29">
        <f>(167+112)/AB42</f>
        <v>46.5</v>
      </c>
      <c r="AE42" s="89"/>
      <c r="AF42" s="77"/>
      <c r="AG42" s="74">
        <f>2+1</f>
        <v>3</v>
      </c>
      <c r="AH42" s="75">
        <f>2930.82/AG42</f>
        <v>976.94</v>
      </c>
      <c r="AI42" s="29">
        <f>(32+208)/AG42</f>
        <v>80</v>
      </c>
      <c r="AJ42" s="89"/>
      <c r="AK42" s="77"/>
    </row>
    <row r="43" spans="1:37" s="35" customFormat="1" ht="18" customHeight="1">
      <c r="A43" s="165"/>
      <c r="B43" s="6" t="s">
        <v>17</v>
      </c>
      <c r="C43" s="74"/>
      <c r="D43" s="75"/>
      <c r="E43" s="36"/>
      <c r="F43" s="76"/>
      <c r="G43" s="76"/>
      <c r="H43" s="74"/>
      <c r="I43" s="75"/>
      <c r="J43" s="36"/>
      <c r="K43" s="74"/>
      <c r="L43" s="77"/>
      <c r="M43" s="74"/>
      <c r="N43" s="75"/>
      <c r="O43" s="29"/>
      <c r="P43" s="89"/>
      <c r="Q43" s="77"/>
      <c r="R43" s="74">
        <v>1</v>
      </c>
      <c r="S43" s="75">
        <v>0</v>
      </c>
      <c r="T43" s="29">
        <v>6</v>
      </c>
      <c r="U43" s="89"/>
      <c r="V43" s="77"/>
      <c r="W43" s="74"/>
      <c r="X43" s="91"/>
      <c r="Y43" s="91"/>
      <c r="Z43" s="89"/>
      <c r="AA43" s="77"/>
      <c r="AB43" s="74"/>
      <c r="AC43" s="91"/>
      <c r="AD43" s="91"/>
      <c r="AE43" s="89"/>
      <c r="AF43" s="77"/>
      <c r="AG43" s="74"/>
      <c r="AH43" s="91"/>
      <c r="AI43" s="91"/>
      <c r="AJ43" s="89"/>
      <c r="AK43" s="77"/>
    </row>
    <row r="44" spans="1:37" s="35" customFormat="1" ht="18" customHeight="1">
      <c r="A44" s="165"/>
      <c r="B44" s="6" t="s">
        <v>90</v>
      </c>
      <c r="C44" s="74"/>
      <c r="D44" s="75"/>
      <c r="E44" s="36"/>
      <c r="F44" s="76"/>
      <c r="G44" s="76"/>
      <c r="H44" s="74"/>
      <c r="I44" s="75"/>
      <c r="J44" s="36"/>
      <c r="K44" s="74"/>
      <c r="L44" s="77"/>
      <c r="M44" s="74"/>
      <c r="N44" s="75"/>
      <c r="O44" s="29"/>
      <c r="P44" s="89"/>
      <c r="Q44" s="77"/>
      <c r="R44" s="74"/>
      <c r="S44" s="75"/>
      <c r="T44" s="29"/>
      <c r="U44" s="89"/>
      <c r="V44" s="77"/>
      <c r="W44" s="127">
        <v>4</v>
      </c>
      <c r="X44" s="75">
        <v>4000.135</v>
      </c>
      <c r="Y44" s="29">
        <v>88.75</v>
      </c>
      <c r="Z44" s="87"/>
      <c r="AA44" s="87"/>
      <c r="AB44" s="127">
        <v>4</v>
      </c>
      <c r="AC44" s="75">
        <f>(799+12459.43)/AB44</f>
        <v>3314.6075</v>
      </c>
      <c r="AD44" s="29">
        <f>(305+8)/AB44</f>
        <v>78.25</v>
      </c>
      <c r="AE44" s="87"/>
      <c r="AF44" s="87"/>
      <c r="AG44" s="127">
        <f>1+3</f>
        <v>4</v>
      </c>
      <c r="AH44" s="75">
        <f>(12884.08+2278.67)/AG44</f>
        <v>3790.6875</v>
      </c>
      <c r="AI44" s="29">
        <f>(208+32)/AG44</f>
        <v>60</v>
      </c>
      <c r="AJ44" s="87"/>
      <c r="AK44" s="87"/>
    </row>
    <row r="45" spans="1:37" s="35" customFormat="1" ht="18" customHeight="1">
      <c r="A45" s="165"/>
      <c r="B45" s="6" t="s">
        <v>18</v>
      </c>
      <c r="C45" s="74">
        <f>10+2</f>
        <v>12</v>
      </c>
      <c r="D45" s="75">
        <f>7803/12</f>
        <v>650.25</v>
      </c>
      <c r="E45" s="36"/>
      <c r="F45" s="76"/>
      <c r="G45" s="76"/>
      <c r="H45" s="74">
        <f>11+2</f>
        <v>13</v>
      </c>
      <c r="I45" s="75">
        <f>8452.8/H45</f>
        <v>650.2153846153846</v>
      </c>
      <c r="J45" s="29">
        <f>98/11</f>
        <v>8.909090909090908</v>
      </c>
      <c r="K45" s="74"/>
      <c r="L45" s="77"/>
      <c r="M45" s="74">
        <f>9+2</f>
        <v>11</v>
      </c>
      <c r="N45" s="75">
        <v>517.45</v>
      </c>
      <c r="O45" s="29">
        <v>22.272727272727273</v>
      </c>
      <c r="P45" s="89"/>
      <c r="Q45" s="77"/>
      <c r="R45" s="74">
        <f>9+1</f>
        <v>10</v>
      </c>
      <c r="S45" s="75">
        <v>1015.5555555555555</v>
      </c>
      <c r="T45" s="29">
        <v>57</v>
      </c>
      <c r="U45" s="89"/>
      <c r="V45" s="77"/>
      <c r="W45" s="74">
        <v>10</v>
      </c>
      <c r="X45" s="75">
        <v>1125</v>
      </c>
      <c r="Y45" s="29">
        <v>23.3</v>
      </c>
      <c r="Z45" s="89"/>
      <c r="AA45" s="77"/>
      <c r="AB45" s="74">
        <v>14</v>
      </c>
      <c r="AC45" s="75">
        <f>(792+13676.08)/14</f>
        <v>1033.4342857142858</v>
      </c>
      <c r="AD45" s="29">
        <f>(192+67)/AB45</f>
        <v>18.5</v>
      </c>
      <c r="AE45" s="89"/>
      <c r="AF45" s="77"/>
      <c r="AG45" s="74">
        <f>11+5</f>
        <v>16</v>
      </c>
      <c r="AH45" s="75">
        <f>(2500+8075+919.67+830.59)/16</f>
        <v>770.32875</v>
      </c>
      <c r="AI45" s="29">
        <f>(118+178)/AG45</f>
        <v>18.5</v>
      </c>
      <c r="AJ45" s="89"/>
      <c r="AK45" s="77"/>
    </row>
    <row r="46" spans="1:37" s="62" customFormat="1" ht="18" customHeight="1">
      <c r="A46" s="165"/>
      <c r="B46" s="44" t="s">
        <v>19</v>
      </c>
      <c r="C46" s="56">
        <f>SUM(C36:C45)</f>
        <v>30</v>
      </c>
      <c r="D46" s="20">
        <f>43245.16/C46</f>
        <v>1441.5053333333335</v>
      </c>
      <c r="E46" s="55"/>
      <c r="F46" s="55"/>
      <c r="G46" s="55"/>
      <c r="H46" s="56">
        <f>SUM(H36:H45)</f>
        <v>35</v>
      </c>
      <c r="I46" s="20">
        <f>43605.53/H46</f>
        <v>1245.8722857142857</v>
      </c>
      <c r="J46" s="55">
        <f>157/18</f>
        <v>8.722222222222221</v>
      </c>
      <c r="K46" s="56"/>
      <c r="L46" s="20"/>
      <c r="M46" s="56">
        <f>SUM(M36:M45)</f>
        <v>33</v>
      </c>
      <c r="N46" s="20">
        <f>(10363.9+24853.12+9000+8230)/M46</f>
        <v>1589.3036363636363</v>
      </c>
      <c r="O46" s="55">
        <f>(990+265)/M46</f>
        <v>38.03030303030303</v>
      </c>
      <c r="P46" s="56"/>
      <c r="Q46" s="20"/>
      <c r="R46" s="56">
        <f>SUM(R37:R45)</f>
        <v>26</v>
      </c>
      <c r="S46" s="20">
        <v>2763.83</v>
      </c>
      <c r="T46" s="55">
        <v>73.29</v>
      </c>
      <c r="U46" s="56"/>
      <c r="V46" s="20"/>
      <c r="W46" s="56">
        <f>SUM(W36:W45)</f>
        <v>30</v>
      </c>
      <c r="X46" s="20">
        <v>1893.66</v>
      </c>
      <c r="Y46" s="61">
        <v>27.1</v>
      </c>
      <c r="Z46" s="56"/>
      <c r="AA46" s="20"/>
      <c r="AB46" s="56">
        <f>SUM(AB36:AB45)</f>
        <v>35</v>
      </c>
      <c r="AC46" s="20">
        <f>(18689.15+8127.22+14795.44+6300+7500)/AB46</f>
        <v>1583.1945714285716</v>
      </c>
      <c r="AD46" s="61">
        <f>(418+762)/AB46</f>
        <v>33.714285714285715</v>
      </c>
      <c r="AE46" s="56"/>
      <c r="AF46" s="20"/>
      <c r="AG46" s="56">
        <f>SUM(AG36:AG45)</f>
        <v>32</v>
      </c>
      <c r="AH46" s="137">
        <f>(20196+6129.16)/AG46</f>
        <v>822.66125</v>
      </c>
      <c r="AI46" s="61">
        <f>(418+762)/AG46</f>
        <v>36.875</v>
      </c>
      <c r="AJ46" s="56"/>
      <c r="AK46" s="20"/>
    </row>
    <row r="47" spans="1:37" ht="18" customHeight="1">
      <c r="A47" s="164" t="s">
        <v>4</v>
      </c>
      <c r="B47" s="6" t="s">
        <v>10</v>
      </c>
      <c r="C47" s="17">
        <v>4</v>
      </c>
      <c r="D47" s="63">
        <f>27950.17/C47</f>
        <v>6987.5425</v>
      </c>
      <c r="E47" s="34"/>
      <c r="F47" s="64"/>
      <c r="G47" s="64"/>
      <c r="H47" s="17">
        <v>4</v>
      </c>
      <c r="I47" s="63">
        <f>25156/4</f>
        <v>6289</v>
      </c>
      <c r="J47" s="36"/>
      <c r="K47" s="17"/>
      <c r="L47" s="63"/>
      <c r="M47" s="17">
        <v>4</v>
      </c>
      <c r="N47" s="63">
        <v>6370.8725</v>
      </c>
      <c r="O47" s="90"/>
      <c r="P47" s="17"/>
      <c r="Q47" s="63"/>
      <c r="R47" s="17">
        <v>4</v>
      </c>
      <c r="S47" s="63">
        <v>4582.577755898679</v>
      </c>
      <c r="T47" s="90"/>
      <c r="U47" s="17"/>
      <c r="V47" s="63"/>
      <c r="W47" s="17"/>
      <c r="X47" s="63"/>
      <c r="Y47" s="90"/>
      <c r="Z47" s="17"/>
      <c r="AA47" s="63"/>
      <c r="AB47" s="17"/>
      <c r="AC47" s="63"/>
      <c r="AD47" s="90"/>
      <c r="AE47" s="17"/>
      <c r="AF47" s="63"/>
      <c r="AG47" s="17"/>
      <c r="AH47" s="63"/>
      <c r="AI47" s="90"/>
      <c r="AJ47" s="17"/>
      <c r="AK47" s="63"/>
    </row>
    <row r="48" spans="1:37" ht="18" customHeight="1">
      <c r="A48" s="164"/>
      <c r="B48" s="6" t="s">
        <v>11</v>
      </c>
      <c r="C48" s="17">
        <v>21</v>
      </c>
      <c r="D48" s="63">
        <f>124985.78/C48</f>
        <v>5951.7038095238095</v>
      </c>
      <c r="E48" s="34"/>
      <c r="F48" s="64"/>
      <c r="G48" s="64"/>
      <c r="H48" s="17">
        <v>22</v>
      </c>
      <c r="I48" s="63">
        <f>128068.65/22</f>
        <v>5821.302272727273</v>
      </c>
      <c r="J48" s="36"/>
      <c r="K48" s="17"/>
      <c r="L48" s="63"/>
      <c r="M48" s="17">
        <v>23</v>
      </c>
      <c r="N48" s="63">
        <v>5528.951304347826</v>
      </c>
      <c r="O48" s="90"/>
      <c r="P48" s="17"/>
      <c r="Q48" s="63"/>
      <c r="R48" s="17">
        <v>25</v>
      </c>
      <c r="S48" s="63">
        <v>5451.66710158027</v>
      </c>
      <c r="T48" s="90"/>
      <c r="U48" s="17"/>
      <c r="V48" s="63"/>
      <c r="W48" s="17">
        <v>24</v>
      </c>
      <c r="X48" s="63">
        <v>5901.552928571429</v>
      </c>
      <c r="Y48" s="90"/>
      <c r="Z48" s="17"/>
      <c r="AA48" s="63"/>
      <c r="AB48" s="17">
        <v>25</v>
      </c>
      <c r="AC48" s="63">
        <f>137008.14/AB48</f>
        <v>5480.3256</v>
      </c>
      <c r="AD48" s="90"/>
      <c r="AE48" s="17"/>
      <c r="AF48" s="63"/>
      <c r="AG48" s="17">
        <v>23</v>
      </c>
      <c r="AH48" s="63">
        <f>129602.57/AG48</f>
        <v>5634.894347826087</v>
      </c>
      <c r="AI48" s="90"/>
      <c r="AJ48" s="17"/>
      <c r="AK48" s="63"/>
    </row>
    <row r="49" spans="1:37" ht="18" customHeight="1">
      <c r="A49" s="164"/>
      <c r="B49" s="6" t="s">
        <v>12</v>
      </c>
      <c r="C49" s="17">
        <v>3</v>
      </c>
      <c r="D49" s="63">
        <f>16022.11/C49</f>
        <v>5340.703333333334</v>
      </c>
      <c r="E49" s="34"/>
      <c r="F49" s="64"/>
      <c r="G49" s="64"/>
      <c r="H49" s="17">
        <v>1</v>
      </c>
      <c r="I49" s="63">
        <f>4592.52/H49</f>
        <v>4592.52</v>
      </c>
      <c r="J49" s="36"/>
      <c r="K49" s="17"/>
      <c r="L49" s="63"/>
      <c r="M49" s="17">
        <v>1</v>
      </c>
      <c r="N49" s="63">
        <v>4302.35</v>
      </c>
      <c r="O49" s="90"/>
      <c r="P49" s="17"/>
      <c r="Q49" s="63"/>
      <c r="R49" s="17">
        <v>1</v>
      </c>
      <c r="S49" s="63">
        <v>4852.81</v>
      </c>
      <c r="T49" s="90"/>
      <c r="U49" s="17"/>
      <c r="V49" s="63"/>
      <c r="W49" s="17"/>
      <c r="X49" s="63"/>
      <c r="Y49" s="90"/>
      <c r="Z49" s="17"/>
      <c r="AA49" s="63"/>
      <c r="AB49" s="17"/>
      <c r="AC49" s="63"/>
      <c r="AD49" s="90"/>
      <c r="AE49" s="17"/>
      <c r="AF49" s="63"/>
      <c r="AG49" s="17"/>
      <c r="AH49" s="63"/>
      <c r="AI49" s="90"/>
      <c r="AJ49" s="17"/>
      <c r="AK49" s="63"/>
    </row>
    <row r="50" spans="1:37" ht="18" customHeight="1">
      <c r="A50" s="164"/>
      <c r="B50" s="6" t="s">
        <v>13</v>
      </c>
      <c r="C50" s="17">
        <v>8</v>
      </c>
      <c r="D50" s="63">
        <f>58870.59/C50</f>
        <v>7358.82375</v>
      </c>
      <c r="E50" s="34"/>
      <c r="F50" s="64"/>
      <c r="G50" s="64"/>
      <c r="H50" s="17">
        <v>8</v>
      </c>
      <c r="I50" s="63">
        <f>52681.76/8</f>
        <v>6585.22</v>
      </c>
      <c r="J50" s="36"/>
      <c r="K50" s="17"/>
      <c r="L50" s="63"/>
      <c r="M50" s="17">
        <v>9</v>
      </c>
      <c r="N50" s="63">
        <v>6606.096666666667</v>
      </c>
      <c r="O50" s="90"/>
      <c r="P50" s="17"/>
      <c r="Q50" s="63"/>
      <c r="R50" s="17">
        <v>11</v>
      </c>
      <c r="S50" s="63">
        <v>6518.4964022837075</v>
      </c>
      <c r="T50" s="90"/>
      <c r="U50" s="17"/>
      <c r="V50" s="63"/>
      <c r="W50" s="17"/>
      <c r="X50" s="63"/>
      <c r="Y50" s="90"/>
      <c r="Z50" s="17"/>
      <c r="AA50" s="63"/>
      <c r="AB50" s="17"/>
      <c r="AC50" s="63"/>
      <c r="AD50" s="90"/>
      <c r="AE50" s="17"/>
      <c r="AF50" s="63"/>
      <c r="AG50" s="17"/>
      <c r="AH50" s="63"/>
      <c r="AI50" s="90"/>
      <c r="AJ50" s="17"/>
      <c r="AK50" s="63"/>
    </row>
    <row r="51" spans="1:37" ht="18" customHeight="1">
      <c r="A51" s="164"/>
      <c r="B51" s="6" t="s">
        <v>14</v>
      </c>
      <c r="C51" s="17">
        <v>5</v>
      </c>
      <c r="D51" s="63">
        <f>33822.5/C51</f>
        <v>6764.5</v>
      </c>
      <c r="E51" s="34"/>
      <c r="F51" s="64"/>
      <c r="G51" s="64"/>
      <c r="H51" s="17">
        <v>5</v>
      </c>
      <c r="I51" s="63">
        <f>24559.13/5</f>
        <v>4911.826</v>
      </c>
      <c r="J51" s="36"/>
      <c r="K51" s="17"/>
      <c r="L51" s="63"/>
      <c r="M51" s="17">
        <v>5</v>
      </c>
      <c r="N51" s="63">
        <v>5534.2080000000005</v>
      </c>
      <c r="O51" s="90"/>
      <c r="P51" s="17"/>
      <c r="Q51" s="63"/>
      <c r="R51" s="17">
        <v>5</v>
      </c>
      <c r="S51" s="63">
        <v>5493.73424</v>
      </c>
      <c r="T51" s="90"/>
      <c r="U51" s="17"/>
      <c r="V51" s="63"/>
      <c r="W51" s="17">
        <v>5</v>
      </c>
      <c r="X51" s="63">
        <v>5440.0030400000005</v>
      </c>
      <c r="Y51" s="90"/>
      <c r="Z51" s="17"/>
      <c r="AA51" s="63"/>
      <c r="AB51" s="17">
        <v>6</v>
      </c>
      <c r="AC51" s="63">
        <f>29420.02/AB51</f>
        <v>4903.336666666667</v>
      </c>
      <c r="AD51" s="90"/>
      <c r="AE51" s="17"/>
      <c r="AF51" s="63"/>
      <c r="AG51" s="17">
        <v>3</v>
      </c>
      <c r="AH51" s="63">
        <f>24634.32/AG51</f>
        <v>8211.44</v>
      </c>
      <c r="AI51" s="90"/>
      <c r="AJ51" s="17"/>
      <c r="AK51" s="63"/>
    </row>
    <row r="52" spans="1:37" ht="18" customHeight="1">
      <c r="A52" s="164"/>
      <c r="B52" s="6" t="s">
        <v>15</v>
      </c>
      <c r="C52" s="17">
        <v>4</v>
      </c>
      <c r="D52" s="63">
        <f>22740.35/C52</f>
        <v>5685.0875</v>
      </c>
      <c r="E52" s="34"/>
      <c r="F52" s="64"/>
      <c r="G52" s="64"/>
      <c r="H52" s="17">
        <v>4</v>
      </c>
      <c r="I52" s="63">
        <f>18155.98/H52</f>
        <v>4538.995</v>
      </c>
      <c r="J52" s="36"/>
      <c r="K52" s="17"/>
      <c r="L52" s="63"/>
      <c r="M52" s="17">
        <v>4</v>
      </c>
      <c r="N52" s="63">
        <v>3981.665</v>
      </c>
      <c r="O52" s="90"/>
      <c r="P52" s="17"/>
      <c r="Q52" s="63"/>
      <c r="R52" s="17">
        <v>3</v>
      </c>
      <c r="S52" s="63">
        <v>5670.01</v>
      </c>
      <c r="T52" s="90"/>
      <c r="U52" s="17"/>
      <c r="V52" s="63"/>
      <c r="W52" s="17"/>
      <c r="X52" s="63"/>
      <c r="Y52" s="90"/>
      <c r="Z52" s="17"/>
      <c r="AA52" s="63"/>
      <c r="AB52" s="17"/>
      <c r="AC52" s="63"/>
      <c r="AD52" s="90"/>
      <c r="AE52" s="17"/>
      <c r="AF52" s="63"/>
      <c r="AG52" s="17"/>
      <c r="AH52" s="63"/>
      <c r="AI52" s="90"/>
      <c r="AJ52" s="17"/>
      <c r="AK52" s="63"/>
    </row>
    <row r="53" spans="1:37" ht="18" customHeight="1">
      <c r="A53" s="164"/>
      <c r="B53" s="6" t="s">
        <v>16</v>
      </c>
      <c r="C53" s="17">
        <v>4</v>
      </c>
      <c r="D53" s="63">
        <f>20496.46/C53</f>
        <v>5124.115</v>
      </c>
      <c r="E53" s="10"/>
      <c r="F53" s="64"/>
      <c r="G53" s="64"/>
      <c r="H53" s="17">
        <v>3</v>
      </c>
      <c r="I53" s="63">
        <f>20175.78/H53</f>
        <v>6725.259999999999</v>
      </c>
      <c r="J53" s="36"/>
      <c r="K53" s="17"/>
      <c r="L53" s="63"/>
      <c r="M53" s="17">
        <v>3</v>
      </c>
      <c r="N53" s="63">
        <v>7060.166666666667</v>
      </c>
      <c r="O53" s="90"/>
      <c r="P53" s="17"/>
      <c r="Q53" s="63"/>
      <c r="R53" s="74">
        <v>3</v>
      </c>
      <c r="S53" s="75">
        <f>(6802.54+5899.19+8108.16)/3</f>
        <v>6936.63</v>
      </c>
      <c r="T53" s="90"/>
      <c r="U53" s="17"/>
      <c r="V53" s="63"/>
      <c r="W53" s="74">
        <v>3</v>
      </c>
      <c r="X53" s="75">
        <v>7090.483333333334</v>
      </c>
      <c r="Y53" s="90"/>
      <c r="Z53" s="17"/>
      <c r="AA53" s="63"/>
      <c r="AB53" s="74">
        <v>5</v>
      </c>
      <c r="AC53" s="75">
        <f>23044.93/AB53</f>
        <v>4608.986</v>
      </c>
      <c r="AD53" s="90"/>
      <c r="AE53" s="17"/>
      <c r="AF53" s="63"/>
      <c r="AG53" s="74">
        <v>6</v>
      </c>
      <c r="AH53" s="75">
        <f>22926.4/AG53</f>
        <v>3821.066666666667</v>
      </c>
      <c r="AI53" s="90"/>
      <c r="AJ53" s="17"/>
      <c r="AK53" s="63"/>
    </row>
    <row r="54" spans="1:37" ht="18" customHeight="1">
      <c r="A54" s="164"/>
      <c r="B54" s="6" t="s">
        <v>17</v>
      </c>
      <c r="C54" s="17">
        <v>1</v>
      </c>
      <c r="D54" s="63">
        <v>5396.34</v>
      </c>
      <c r="E54" s="10"/>
      <c r="F54" s="64"/>
      <c r="G54" s="64"/>
      <c r="H54" s="17">
        <v>1</v>
      </c>
      <c r="I54" s="63">
        <f>4606.07</f>
        <v>4606.07</v>
      </c>
      <c r="J54" s="36"/>
      <c r="K54" s="17"/>
      <c r="L54" s="63"/>
      <c r="M54" s="17">
        <v>1</v>
      </c>
      <c r="N54" s="63">
        <v>4671.41</v>
      </c>
      <c r="O54" s="90"/>
      <c r="P54" s="17"/>
      <c r="Q54" s="63"/>
      <c r="R54" s="17">
        <v>1</v>
      </c>
      <c r="S54" s="63">
        <v>4623.87</v>
      </c>
      <c r="T54" s="90"/>
      <c r="U54" s="17"/>
      <c r="V54" s="63"/>
      <c r="W54" s="17"/>
      <c r="X54" s="63"/>
      <c r="Y54" s="90"/>
      <c r="Z54" s="17"/>
      <c r="AA54" s="63"/>
      <c r="AB54" s="17"/>
      <c r="AC54" s="63"/>
      <c r="AD54" s="90"/>
      <c r="AE54" s="17"/>
      <c r="AF54" s="63"/>
      <c r="AG54" s="17"/>
      <c r="AH54" s="63"/>
      <c r="AI54" s="90"/>
      <c r="AJ54" s="17"/>
      <c r="AK54" s="63"/>
    </row>
    <row r="55" spans="1:37" ht="18" customHeight="1">
      <c r="A55" s="164"/>
      <c r="B55" s="6" t="s">
        <v>90</v>
      </c>
      <c r="C55" s="17"/>
      <c r="D55" s="63"/>
      <c r="E55" s="10"/>
      <c r="F55" s="64"/>
      <c r="G55" s="64"/>
      <c r="H55" s="17"/>
      <c r="I55" s="63"/>
      <c r="J55" s="36"/>
      <c r="K55" s="17"/>
      <c r="L55" s="63"/>
      <c r="M55" s="17"/>
      <c r="N55" s="63"/>
      <c r="O55" s="90"/>
      <c r="P55" s="17"/>
      <c r="Q55" s="63"/>
      <c r="R55" s="17"/>
      <c r="S55" s="63"/>
      <c r="T55" s="90"/>
      <c r="U55" s="17"/>
      <c r="V55" s="63"/>
      <c r="W55" s="17">
        <v>20</v>
      </c>
      <c r="X55" s="63">
        <v>6051.376850476192</v>
      </c>
      <c r="Y55" s="90"/>
      <c r="Z55" s="17"/>
      <c r="AA55" s="63"/>
      <c r="AB55" s="17">
        <v>20</v>
      </c>
      <c r="AC55" s="63">
        <f>124002.23/AB55</f>
        <v>6200.1115</v>
      </c>
      <c r="AD55" s="90"/>
      <c r="AE55" s="17"/>
      <c r="AF55" s="63"/>
      <c r="AG55" s="17">
        <v>20</v>
      </c>
      <c r="AH55" s="63">
        <f>116356.11/AG55</f>
        <v>5817.8055</v>
      </c>
      <c r="AI55" s="90"/>
      <c r="AJ55" s="17"/>
      <c r="AK55" s="63"/>
    </row>
    <row r="56" spans="1:37" ht="18" customHeight="1">
      <c r="A56" s="164"/>
      <c r="B56" s="6" t="s">
        <v>18</v>
      </c>
      <c r="C56" s="17">
        <v>13</v>
      </c>
      <c r="D56" s="63">
        <f>73485.7/C56</f>
        <v>5652.746153846154</v>
      </c>
      <c r="E56" s="10"/>
      <c r="F56" s="64"/>
      <c r="G56" s="64"/>
      <c r="H56" s="17">
        <v>14</v>
      </c>
      <c r="I56" s="63">
        <f>77487.3/H56</f>
        <v>5534.807142857143</v>
      </c>
      <c r="J56" s="36"/>
      <c r="K56" s="17"/>
      <c r="L56" s="63"/>
      <c r="M56" s="17">
        <v>14</v>
      </c>
      <c r="N56" s="63">
        <v>4863.528571428571</v>
      </c>
      <c r="O56" s="90"/>
      <c r="P56" s="17"/>
      <c r="Q56" s="63"/>
      <c r="R56" s="17">
        <v>13</v>
      </c>
      <c r="S56" s="63">
        <v>5108.592539367522</v>
      </c>
      <c r="T56" s="90"/>
      <c r="U56" s="17"/>
      <c r="V56" s="63"/>
      <c r="W56" s="17">
        <v>14</v>
      </c>
      <c r="X56" s="63">
        <v>5718.02596462585</v>
      </c>
      <c r="Y56" s="90"/>
      <c r="Z56" s="17"/>
      <c r="AA56" s="63"/>
      <c r="AB56" s="17">
        <v>13</v>
      </c>
      <c r="AC56" s="63">
        <f>96147.62/AB56</f>
        <v>7395.970769230769</v>
      </c>
      <c r="AD56" s="90"/>
      <c r="AE56" s="17"/>
      <c r="AF56" s="63"/>
      <c r="AG56" s="17">
        <v>13</v>
      </c>
      <c r="AH56" s="63">
        <f>90973.68/AG56</f>
        <v>6997.975384615384</v>
      </c>
      <c r="AI56" s="90"/>
      <c r="AJ56" s="17"/>
      <c r="AK56" s="63"/>
    </row>
    <row r="57" spans="1:37" s="60" customFormat="1" ht="18" customHeight="1">
      <c r="A57" s="164"/>
      <c r="B57" s="44" t="s">
        <v>19</v>
      </c>
      <c r="C57" s="56">
        <f>SUM(C47:C56)</f>
        <v>63</v>
      </c>
      <c r="D57" s="20">
        <f>383770/C57</f>
        <v>6091.587301587301</v>
      </c>
      <c r="E57" s="55"/>
      <c r="F57" s="55"/>
      <c r="G57" s="55"/>
      <c r="H57" s="56">
        <f>SUM(H47:H56)</f>
        <v>62</v>
      </c>
      <c r="I57" s="20">
        <f>355483/H57</f>
        <v>5733.596774193548</v>
      </c>
      <c r="J57" s="55"/>
      <c r="K57" s="56"/>
      <c r="L57" s="20"/>
      <c r="M57" s="56">
        <f>SUM(M47:M56)</f>
        <v>64</v>
      </c>
      <c r="N57" s="20">
        <f>353945.6/M57</f>
        <v>5530.4</v>
      </c>
      <c r="O57" s="55"/>
      <c r="P57" s="56"/>
      <c r="Q57" s="20"/>
      <c r="R57" s="56">
        <f>SUM(R47:R56)</f>
        <v>66</v>
      </c>
      <c r="S57" s="20">
        <v>5470.93</v>
      </c>
      <c r="T57" s="61">
        <v>5568.218533333334</v>
      </c>
      <c r="U57" s="56"/>
      <c r="V57" s="20"/>
      <c r="W57" s="56">
        <f>SUM(W47:W56)</f>
        <v>66</v>
      </c>
      <c r="X57" s="20">
        <v>5927.100545454547</v>
      </c>
      <c r="Y57" s="55"/>
      <c r="Z57" s="56"/>
      <c r="AA57" s="20"/>
      <c r="AB57" s="56">
        <f>SUM(AB47:AB56)</f>
        <v>69</v>
      </c>
      <c r="AC57" s="20">
        <f>409622.94/AB57</f>
        <v>5936.564347826087</v>
      </c>
      <c r="AD57" s="55"/>
      <c r="AE57" s="56"/>
      <c r="AF57" s="20"/>
      <c r="AG57" s="56">
        <f>SUM(AG47:AG56)</f>
        <v>65</v>
      </c>
      <c r="AH57" s="20">
        <f>409622.94/AG57</f>
        <v>6301.891384615385</v>
      </c>
      <c r="AI57" s="55"/>
      <c r="AJ57" s="56"/>
      <c r="AK57" s="20"/>
    </row>
    <row r="58" spans="1:37" ht="18" customHeight="1">
      <c r="A58" s="164" t="s">
        <v>55</v>
      </c>
      <c r="B58" s="6" t="s">
        <v>10</v>
      </c>
      <c r="C58" s="17">
        <v>3</v>
      </c>
      <c r="D58" s="63">
        <f>8065.3/C58</f>
        <v>2688.4333333333334</v>
      </c>
      <c r="E58" s="10"/>
      <c r="F58" s="64"/>
      <c r="G58" s="64"/>
      <c r="H58" s="17">
        <v>3</v>
      </c>
      <c r="I58" s="63">
        <f>7325.26/H58</f>
        <v>2441.7533333333336</v>
      </c>
      <c r="J58" s="10"/>
      <c r="K58" s="17"/>
      <c r="L58" s="63"/>
      <c r="M58" s="17">
        <v>3</v>
      </c>
      <c r="N58" s="63">
        <v>2860.956666666667</v>
      </c>
      <c r="O58" s="90"/>
      <c r="P58" s="17"/>
      <c r="Q58" s="63"/>
      <c r="R58" s="17">
        <v>2</v>
      </c>
      <c r="S58" s="63">
        <v>6051.3293300000005</v>
      </c>
      <c r="T58" s="90"/>
      <c r="U58" s="17"/>
      <c r="V58" s="63"/>
      <c r="W58" s="17"/>
      <c r="X58" s="63"/>
      <c r="Y58" s="90"/>
      <c r="Z58" s="17"/>
      <c r="AA58" s="63"/>
      <c r="AB58" s="17"/>
      <c r="AC58" s="63"/>
      <c r="AD58" s="90"/>
      <c r="AE58" s="17"/>
      <c r="AF58" s="63"/>
      <c r="AG58" s="17"/>
      <c r="AH58" s="63"/>
      <c r="AI58" s="90"/>
      <c r="AJ58" s="17"/>
      <c r="AK58" s="63"/>
    </row>
    <row r="59" spans="1:37" ht="18" customHeight="1">
      <c r="A59" s="164"/>
      <c r="B59" s="6" t="s">
        <v>11</v>
      </c>
      <c r="C59" s="17">
        <v>11</v>
      </c>
      <c r="D59" s="63">
        <f>38836.7/C59</f>
        <v>3530.609090909091</v>
      </c>
      <c r="E59" s="10"/>
      <c r="F59" s="64"/>
      <c r="G59" s="64"/>
      <c r="H59" s="17">
        <v>13</v>
      </c>
      <c r="I59" s="63">
        <f>41396.82/H59</f>
        <v>3184.3707692307694</v>
      </c>
      <c r="J59" s="10"/>
      <c r="K59" s="17"/>
      <c r="L59" s="63"/>
      <c r="M59" s="17">
        <v>15</v>
      </c>
      <c r="N59" s="63">
        <v>3678.2066666666665</v>
      </c>
      <c r="O59" s="90"/>
      <c r="P59" s="17"/>
      <c r="Q59" s="63"/>
      <c r="R59" s="17">
        <v>17</v>
      </c>
      <c r="S59" s="63">
        <v>3843.1635576470594</v>
      </c>
      <c r="T59" s="90"/>
      <c r="U59" s="17"/>
      <c r="V59" s="63"/>
      <c r="W59" s="17">
        <v>14</v>
      </c>
      <c r="X59" s="63">
        <v>5448.8763714285715</v>
      </c>
      <c r="Y59" s="90"/>
      <c r="Z59" s="17"/>
      <c r="AA59" s="63"/>
      <c r="AB59" s="17">
        <v>15</v>
      </c>
      <c r="AC59" s="63">
        <f>91194.76/AB59</f>
        <v>6079.650666666666</v>
      </c>
      <c r="AD59" s="90"/>
      <c r="AE59" s="17"/>
      <c r="AF59" s="63"/>
      <c r="AG59" s="17">
        <v>17</v>
      </c>
      <c r="AH59" s="63">
        <f>93150.77/AG59</f>
        <v>5479.457058823529</v>
      </c>
      <c r="AI59" s="90"/>
      <c r="AJ59" s="17"/>
      <c r="AK59" s="63"/>
    </row>
    <row r="60" spans="1:37" ht="18" customHeight="1">
      <c r="A60" s="164"/>
      <c r="B60" s="6" t="s">
        <v>12</v>
      </c>
      <c r="C60" s="17">
        <v>1</v>
      </c>
      <c r="D60" s="63">
        <f>4486.76/C60</f>
        <v>4486.76</v>
      </c>
      <c r="E60" s="10"/>
      <c r="F60" s="64"/>
      <c r="G60" s="64"/>
      <c r="H60" s="17">
        <v>1</v>
      </c>
      <c r="I60" s="63">
        <v>4399.77</v>
      </c>
      <c r="J60" s="10"/>
      <c r="K60" s="17"/>
      <c r="L60" s="63"/>
      <c r="M60" s="17">
        <v>1</v>
      </c>
      <c r="N60" s="63">
        <v>3984.9</v>
      </c>
      <c r="O60" s="105"/>
      <c r="P60" s="17"/>
      <c r="Q60" s="63"/>
      <c r="R60" s="17">
        <v>2</v>
      </c>
      <c r="S60" s="63">
        <v>3191.464265</v>
      </c>
      <c r="T60" s="105"/>
      <c r="U60" s="17"/>
      <c r="V60" s="63"/>
      <c r="W60" s="17"/>
      <c r="X60" s="63"/>
      <c r="Y60" s="105"/>
      <c r="Z60" s="17"/>
      <c r="AA60" s="63"/>
      <c r="AB60" s="17"/>
      <c r="AC60" s="63"/>
      <c r="AD60" s="105"/>
      <c r="AE60" s="17"/>
      <c r="AF60" s="63"/>
      <c r="AG60" s="17"/>
      <c r="AH60" s="63"/>
      <c r="AI60" s="105"/>
      <c r="AJ60" s="17"/>
      <c r="AK60" s="63"/>
    </row>
    <row r="61" spans="1:37" ht="18" customHeight="1">
      <c r="A61" s="164"/>
      <c r="B61" s="6" t="s">
        <v>13</v>
      </c>
      <c r="C61" s="17">
        <v>7</v>
      </c>
      <c r="D61" s="63">
        <f>58309.94/C61</f>
        <v>8329.99142857143</v>
      </c>
      <c r="E61" s="10"/>
      <c r="F61" s="64"/>
      <c r="G61" s="64"/>
      <c r="H61" s="17">
        <v>7</v>
      </c>
      <c r="I61" s="63">
        <f>57930.11/H61</f>
        <v>8275.73</v>
      </c>
      <c r="J61" s="10"/>
      <c r="K61" s="17"/>
      <c r="L61" s="63"/>
      <c r="M61" s="17">
        <v>7</v>
      </c>
      <c r="N61" s="63">
        <v>8096.54</v>
      </c>
      <c r="O61" s="106"/>
      <c r="P61" s="17"/>
      <c r="Q61" s="63"/>
      <c r="R61" s="17">
        <v>7</v>
      </c>
      <c r="S61" s="63">
        <v>8068.458851428571</v>
      </c>
      <c r="T61" s="106"/>
      <c r="U61" s="17"/>
      <c r="V61" s="63"/>
      <c r="W61" s="17"/>
      <c r="X61" s="63"/>
      <c r="Y61" s="106"/>
      <c r="Z61" s="17"/>
      <c r="AA61" s="63"/>
      <c r="AB61" s="17"/>
      <c r="AC61" s="63"/>
      <c r="AD61" s="106"/>
      <c r="AE61" s="17"/>
      <c r="AF61" s="63"/>
      <c r="AG61" s="17"/>
      <c r="AH61" s="63"/>
      <c r="AI61" s="106"/>
      <c r="AJ61" s="17"/>
      <c r="AK61" s="63"/>
    </row>
    <row r="62" spans="1:37" ht="18" customHeight="1">
      <c r="A62" s="164"/>
      <c r="B62" s="6" t="s">
        <v>14</v>
      </c>
      <c r="C62" s="17">
        <v>6</v>
      </c>
      <c r="D62" s="63">
        <f>23062.04/C62</f>
        <v>3843.6733333333336</v>
      </c>
      <c r="E62" s="10"/>
      <c r="F62" s="64"/>
      <c r="G62" s="64"/>
      <c r="H62" s="17">
        <v>7</v>
      </c>
      <c r="I62" s="63">
        <f>23702.2/H62</f>
        <v>3386.0285714285715</v>
      </c>
      <c r="J62" s="10"/>
      <c r="K62" s="17"/>
      <c r="L62" s="63"/>
      <c r="M62" s="17">
        <v>7</v>
      </c>
      <c r="N62" s="63">
        <v>4766.725714285714</v>
      </c>
      <c r="O62" s="90"/>
      <c r="P62" s="17"/>
      <c r="Q62" s="63"/>
      <c r="R62" s="17">
        <v>8</v>
      </c>
      <c r="S62" s="63">
        <v>4912.10385</v>
      </c>
      <c r="T62" s="90"/>
      <c r="U62" s="17"/>
      <c r="V62" s="63"/>
      <c r="W62" s="17">
        <v>8</v>
      </c>
      <c r="X62" s="63">
        <v>5680.2889</v>
      </c>
      <c r="Y62" s="90"/>
      <c r="Z62" s="17"/>
      <c r="AA62" s="63"/>
      <c r="AB62" s="17">
        <v>8</v>
      </c>
      <c r="AC62" s="63">
        <f>43626.33/AB62</f>
        <v>5453.29125</v>
      </c>
      <c r="AD62" s="90"/>
      <c r="AE62" s="17"/>
      <c r="AF62" s="63"/>
      <c r="AG62" s="17">
        <v>8</v>
      </c>
      <c r="AH62" s="63">
        <f>42788.06/AG62</f>
        <v>5348.5075</v>
      </c>
      <c r="AI62" s="90"/>
      <c r="AJ62" s="17"/>
      <c r="AK62" s="63"/>
    </row>
    <row r="63" spans="1:37" ht="18" customHeight="1">
      <c r="A63" s="164"/>
      <c r="B63" s="6" t="s">
        <v>15</v>
      </c>
      <c r="C63" s="17">
        <v>1</v>
      </c>
      <c r="D63" s="63">
        <f>7262.1</f>
        <v>7262.1</v>
      </c>
      <c r="E63" s="10"/>
      <c r="F63" s="64"/>
      <c r="G63" s="64"/>
      <c r="H63" s="17">
        <v>1</v>
      </c>
      <c r="I63" s="63">
        <v>7261.8</v>
      </c>
      <c r="J63" s="10"/>
      <c r="K63" s="17"/>
      <c r="L63" s="63"/>
      <c r="M63" s="17">
        <v>2</v>
      </c>
      <c r="N63" s="63">
        <v>4503.13</v>
      </c>
      <c r="O63" s="90"/>
      <c r="P63" s="17"/>
      <c r="Q63" s="63"/>
      <c r="R63" s="17">
        <v>3</v>
      </c>
      <c r="S63" s="63">
        <v>4460.42</v>
      </c>
      <c r="T63" s="90"/>
      <c r="U63" s="17"/>
      <c r="V63" s="63"/>
      <c r="W63" s="17"/>
      <c r="X63" s="63"/>
      <c r="Y63" s="90"/>
      <c r="Z63" s="17"/>
      <c r="AA63" s="63"/>
      <c r="AB63" s="17"/>
      <c r="AC63" s="63"/>
      <c r="AD63" s="90"/>
      <c r="AE63" s="17"/>
      <c r="AF63" s="63"/>
      <c r="AG63" s="17"/>
      <c r="AH63" s="63"/>
      <c r="AI63" s="90"/>
      <c r="AJ63" s="17"/>
      <c r="AK63" s="63"/>
    </row>
    <row r="64" spans="1:37" ht="18" customHeight="1">
      <c r="A64" s="164"/>
      <c r="B64" s="6" t="s">
        <v>16</v>
      </c>
      <c r="C64" s="17">
        <v>13</v>
      </c>
      <c r="D64" s="63">
        <f>76978.53/C64</f>
        <v>5921.425384615384</v>
      </c>
      <c r="E64" s="10"/>
      <c r="F64" s="64"/>
      <c r="G64" s="64"/>
      <c r="H64" s="17">
        <v>13</v>
      </c>
      <c r="I64" s="63">
        <f>76258.75/H64</f>
        <v>5866.057692307692</v>
      </c>
      <c r="J64" s="10"/>
      <c r="K64" s="17"/>
      <c r="L64" s="63"/>
      <c r="M64" s="17">
        <v>13</v>
      </c>
      <c r="N64" s="63">
        <v>5330.8961538461535</v>
      </c>
      <c r="O64" s="90"/>
      <c r="P64" s="17"/>
      <c r="Q64" s="63"/>
      <c r="R64" s="17">
        <v>15</v>
      </c>
      <c r="S64" s="63">
        <v>5140.440355333333</v>
      </c>
      <c r="T64" s="90"/>
      <c r="U64" s="17"/>
      <c r="V64" s="63"/>
      <c r="W64" s="17">
        <v>15</v>
      </c>
      <c r="X64" s="63">
        <v>5203.049599999999</v>
      </c>
      <c r="Y64" s="87"/>
      <c r="Z64" s="87"/>
      <c r="AA64" s="63"/>
      <c r="AB64" s="17">
        <v>14</v>
      </c>
      <c r="AC64" s="63">
        <f>78934.96/AB64</f>
        <v>5638.211428571429</v>
      </c>
      <c r="AD64" s="87"/>
      <c r="AE64" s="87"/>
      <c r="AF64" s="63"/>
      <c r="AG64" s="17">
        <v>15</v>
      </c>
      <c r="AH64" s="63">
        <f>72205.17/AG64</f>
        <v>4813.678</v>
      </c>
      <c r="AI64" s="87"/>
      <c r="AJ64" s="87"/>
      <c r="AK64" s="63"/>
    </row>
    <row r="65" spans="1:37" ht="18" customHeight="1">
      <c r="A65" s="164"/>
      <c r="B65" s="6" t="s">
        <v>17</v>
      </c>
      <c r="C65" s="17"/>
      <c r="D65" s="63"/>
      <c r="E65" s="10"/>
      <c r="F65" s="64"/>
      <c r="G65" s="64"/>
      <c r="H65" s="17"/>
      <c r="I65" s="63"/>
      <c r="J65" s="10"/>
      <c r="K65" s="17"/>
      <c r="L65" s="63"/>
      <c r="M65" s="17"/>
      <c r="N65" s="63"/>
      <c r="O65" s="90"/>
      <c r="P65" s="17"/>
      <c r="Q65" s="63"/>
      <c r="R65" s="17">
        <v>0</v>
      </c>
      <c r="S65" s="63"/>
      <c r="T65" s="90"/>
      <c r="U65" s="17"/>
      <c r="V65" s="63"/>
      <c r="W65" s="17"/>
      <c r="X65" s="63"/>
      <c r="Y65" s="90"/>
      <c r="Z65" s="17"/>
      <c r="AA65" s="63"/>
      <c r="AB65" s="17"/>
      <c r="AC65" s="63"/>
      <c r="AD65" s="90"/>
      <c r="AE65" s="17"/>
      <c r="AF65" s="63"/>
      <c r="AG65" s="17"/>
      <c r="AH65" s="63"/>
      <c r="AI65" s="90"/>
      <c r="AJ65" s="17"/>
      <c r="AK65" s="63"/>
    </row>
    <row r="66" spans="1:37" ht="18" customHeight="1">
      <c r="A66" s="164"/>
      <c r="B66" s="6" t="s">
        <v>90</v>
      </c>
      <c r="C66" s="17"/>
      <c r="D66" s="63"/>
      <c r="E66" s="10"/>
      <c r="F66" s="64"/>
      <c r="G66" s="64"/>
      <c r="H66" s="17"/>
      <c r="I66" s="63"/>
      <c r="J66" s="10"/>
      <c r="K66" s="17"/>
      <c r="L66" s="63"/>
      <c r="M66" s="17"/>
      <c r="N66" s="63"/>
      <c r="O66" s="90"/>
      <c r="P66" s="17"/>
      <c r="Q66" s="63"/>
      <c r="R66" s="17"/>
      <c r="S66" s="63"/>
      <c r="T66" s="90"/>
      <c r="U66" s="17"/>
      <c r="V66" s="63"/>
      <c r="W66" s="17">
        <v>16</v>
      </c>
      <c r="X66" s="63">
        <v>5569.5565750000005</v>
      </c>
      <c r="Y66" s="90"/>
      <c r="Z66" s="17"/>
      <c r="AA66" s="63"/>
      <c r="AB66" s="17">
        <v>14</v>
      </c>
      <c r="AC66" s="63">
        <f>87675.38/AB66</f>
        <v>6262.527142857143</v>
      </c>
      <c r="AD66" s="90"/>
      <c r="AE66" s="17"/>
      <c r="AF66" s="63"/>
      <c r="AG66" s="17">
        <v>15</v>
      </c>
      <c r="AH66" s="63">
        <f>96613.3/AG66</f>
        <v>6440.886666666667</v>
      </c>
      <c r="AI66" s="90"/>
      <c r="AJ66" s="17"/>
      <c r="AK66" s="63"/>
    </row>
    <row r="67" spans="1:37" ht="18" customHeight="1">
      <c r="A67" s="164"/>
      <c r="B67" s="6" t="s">
        <v>18</v>
      </c>
      <c r="C67" s="17">
        <v>8</v>
      </c>
      <c r="D67" s="63">
        <f>36126.14/C67</f>
        <v>4515.7675</v>
      </c>
      <c r="E67" s="10"/>
      <c r="F67" s="64"/>
      <c r="G67" s="64"/>
      <c r="H67" s="17">
        <v>8</v>
      </c>
      <c r="I67" s="63">
        <f>34480.55/H67</f>
        <v>4310.06875</v>
      </c>
      <c r="J67" s="10"/>
      <c r="K67" s="17"/>
      <c r="L67" s="63"/>
      <c r="M67" s="17">
        <v>9</v>
      </c>
      <c r="N67" s="63">
        <v>4925.305555555556</v>
      </c>
      <c r="O67" s="90"/>
      <c r="P67" s="17"/>
      <c r="Q67" s="63"/>
      <c r="R67" s="17">
        <v>12</v>
      </c>
      <c r="S67" s="63">
        <v>5631.014094999999</v>
      </c>
      <c r="T67" s="90"/>
      <c r="U67" s="17"/>
      <c r="V67" s="63"/>
      <c r="W67" s="17">
        <v>13</v>
      </c>
      <c r="X67" s="63">
        <v>5164.554999999999</v>
      </c>
      <c r="Y67" s="90"/>
      <c r="Z67" s="17"/>
      <c r="AA67" s="63"/>
      <c r="AB67" s="17">
        <v>13</v>
      </c>
      <c r="AC67" s="63">
        <f>79975.25/AB67</f>
        <v>6151.942307692308</v>
      </c>
      <c r="AD67" s="90"/>
      <c r="AE67" s="17"/>
      <c r="AF67" s="63"/>
      <c r="AG67" s="17">
        <v>14</v>
      </c>
      <c r="AH67" s="63">
        <f>75298.37/AG67</f>
        <v>5378.455</v>
      </c>
      <c r="AI67" s="90"/>
      <c r="AJ67" s="17"/>
      <c r="AK67" s="63"/>
    </row>
    <row r="68" spans="1:37" s="60" customFormat="1" ht="18" customHeight="1">
      <c r="A68" s="164"/>
      <c r="B68" s="44" t="s">
        <v>19</v>
      </c>
      <c r="C68" s="56">
        <f>SUM(C58:C67)</f>
        <v>50</v>
      </c>
      <c r="D68" s="20">
        <f>253127.52/C68</f>
        <v>5062.5504</v>
      </c>
      <c r="E68" s="55"/>
      <c r="F68" s="55"/>
      <c r="G68" s="55"/>
      <c r="H68" s="56">
        <f>SUM(H58:H67)</f>
        <v>53</v>
      </c>
      <c r="I68" s="20">
        <f>252754.74/H68</f>
        <v>4768.957358490566</v>
      </c>
      <c r="J68" s="55"/>
      <c r="K68" s="56"/>
      <c r="L68" s="20"/>
      <c r="M68" s="56">
        <f>SUM(M58:M67)</f>
        <v>57</v>
      </c>
      <c r="N68" s="20">
        <f>280419.39/M68</f>
        <v>4919.638421052632</v>
      </c>
      <c r="O68" s="55"/>
      <c r="P68" s="56"/>
      <c r="Q68" s="20"/>
      <c r="R68" s="56">
        <f>SUM(R58:R67)</f>
        <v>66</v>
      </c>
      <c r="S68" s="20">
        <v>5115.99158939394</v>
      </c>
      <c r="T68" s="55"/>
      <c r="U68" s="56"/>
      <c r="V68" s="20"/>
      <c r="W68" s="56">
        <f>SUM(W58:W67)</f>
        <v>66</v>
      </c>
      <c r="X68" s="20">
        <v>5394.309766666666</v>
      </c>
      <c r="Y68" s="55"/>
      <c r="Z68" s="56"/>
      <c r="AA68" s="20"/>
      <c r="AB68" s="56">
        <f>SUM(AB58:AB67)</f>
        <v>64</v>
      </c>
      <c r="AC68" s="20">
        <f>381406.68/AB68</f>
        <v>5959.479375</v>
      </c>
      <c r="AD68" s="55"/>
      <c r="AE68" s="56"/>
      <c r="AF68" s="20"/>
      <c r="AG68" s="56">
        <f>SUM(AG58:AG67)</f>
        <v>69</v>
      </c>
      <c r="AH68" s="20">
        <f>381406.68/AG68</f>
        <v>5527.63304347826</v>
      </c>
      <c r="AI68" s="55"/>
      <c r="AJ68" s="56"/>
      <c r="AK68" s="20"/>
    </row>
    <row r="69" spans="1:37" ht="18" customHeight="1">
      <c r="A69" s="164" t="s">
        <v>23</v>
      </c>
      <c r="B69" s="6" t="s">
        <v>10</v>
      </c>
      <c r="C69" s="17">
        <v>3</v>
      </c>
      <c r="D69" s="63">
        <f>42646.16/C69</f>
        <v>14215.386666666667</v>
      </c>
      <c r="E69" s="10"/>
      <c r="F69" s="64"/>
      <c r="G69" s="64"/>
      <c r="H69" s="17">
        <v>3</v>
      </c>
      <c r="I69" s="63">
        <f>35472/H69</f>
        <v>11824</v>
      </c>
      <c r="J69" s="10"/>
      <c r="K69" s="17"/>
      <c r="L69" s="63"/>
      <c r="M69" s="17">
        <v>4</v>
      </c>
      <c r="N69" s="63">
        <v>9365.07</v>
      </c>
      <c r="O69" s="90"/>
      <c r="P69" s="17"/>
      <c r="Q69" s="63"/>
      <c r="R69" s="17">
        <v>4</v>
      </c>
      <c r="S69" s="63">
        <v>12929.4527</v>
      </c>
      <c r="T69" s="90"/>
      <c r="U69" s="17"/>
      <c r="V69" s="63"/>
      <c r="W69" s="17"/>
      <c r="X69" s="63"/>
      <c r="Y69" s="90"/>
      <c r="Z69" s="17"/>
      <c r="AA69" s="63"/>
      <c r="AB69" s="17"/>
      <c r="AC69" s="63"/>
      <c r="AD69" s="90"/>
      <c r="AE69" s="17"/>
      <c r="AF69" s="63"/>
      <c r="AG69" s="17"/>
      <c r="AH69" s="63"/>
      <c r="AI69" s="90"/>
      <c r="AJ69" s="17"/>
      <c r="AK69" s="63"/>
    </row>
    <row r="70" spans="1:37" ht="18" customHeight="1">
      <c r="A70" s="164"/>
      <c r="B70" s="6" t="s">
        <v>11</v>
      </c>
      <c r="C70" s="17">
        <v>10</v>
      </c>
      <c r="D70" s="63">
        <f>98002.43/C70</f>
        <v>9800.242999999999</v>
      </c>
      <c r="E70" s="10"/>
      <c r="F70" s="64"/>
      <c r="G70" s="64"/>
      <c r="H70" s="17">
        <v>12</v>
      </c>
      <c r="I70" s="63">
        <f>11029.82/12</f>
        <v>919.1516666666666</v>
      </c>
      <c r="J70" s="10"/>
      <c r="K70" s="17"/>
      <c r="L70" s="63"/>
      <c r="M70" s="17">
        <v>12</v>
      </c>
      <c r="N70" s="63">
        <v>9203.813333333334</v>
      </c>
      <c r="O70" s="90"/>
      <c r="P70" s="17"/>
      <c r="Q70" s="63"/>
      <c r="R70" s="17">
        <v>12</v>
      </c>
      <c r="S70" s="63">
        <v>9732.138033333333</v>
      </c>
      <c r="T70" s="90"/>
      <c r="U70" s="17"/>
      <c r="V70" s="63"/>
      <c r="W70" s="17">
        <v>12</v>
      </c>
      <c r="X70" s="63">
        <v>11730.068299999999</v>
      </c>
      <c r="Y70" s="90"/>
      <c r="Z70" s="17"/>
      <c r="AA70" s="63"/>
      <c r="AB70" s="17">
        <v>14</v>
      </c>
      <c r="AC70" s="63">
        <f>136562.17/AB70</f>
        <v>9754.440714285714</v>
      </c>
      <c r="AD70" s="90"/>
      <c r="AE70" s="17"/>
      <c r="AF70" s="63"/>
      <c r="AG70" s="17">
        <v>12</v>
      </c>
      <c r="AH70" s="63">
        <f>132118.65/AG70</f>
        <v>11009.887499999999</v>
      </c>
      <c r="AI70" s="90"/>
      <c r="AJ70" s="17"/>
      <c r="AK70" s="63"/>
    </row>
    <row r="71" spans="1:37" ht="18" customHeight="1">
      <c r="A71" s="164"/>
      <c r="B71" s="6" t="s">
        <v>12</v>
      </c>
      <c r="C71" s="45"/>
      <c r="D71" s="45"/>
      <c r="E71" s="10"/>
      <c r="F71" s="64"/>
      <c r="G71" s="64"/>
      <c r="H71" s="17"/>
      <c r="I71" s="63"/>
      <c r="J71" s="10"/>
      <c r="K71" s="17"/>
      <c r="L71" s="63"/>
      <c r="M71" s="17"/>
      <c r="N71" s="63"/>
      <c r="O71" s="90"/>
      <c r="P71" s="17"/>
      <c r="Q71" s="63"/>
      <c r="R71" s="17">
        <v>0</v>
      </c>
      <c r="S71" s="63"/>
      <c r="T71" s="90"/>
      <c r="U71" s="17"/>
      <c r="V71" s="63"/>
      <c r="W71" s="17"/>
      <c r="X71" s="63"/>
      <c r="Y71" s="90"/>
      <c r="Z71" s="17"/>
      <c r="AA71" s="63"/>
      <c r="AB71" s="17"/>
      <c r="AC71" s="63"/>
      <c r="AD71" s="90"/>
      <c r="AE71" s="17"/>
      <c r="AF71" s="63"/>
      <c r="AG71" s="17"/>
      <c r="AH71" s="63"/>
      <c r="AI71" s="90"/>
      <c r="AJ71" s="17"/>
      <c r="AK71" s="63"/>
    </row>
    <row r="72" spans="1:37" ht="18" customHeight="1">
      <c r="A72" s="164"/>
      <c r="B72" s="6" t="s">
        <v>13</v>
      </c>
      <c r="C72" s="17">
        <v>1</v>
      </c>
      <c r="D72" s="63">
        <f>9714.97/C72</f>
        <v>9714.97</v>
      </c>
      <c r="E72" s="10"/>
      <c r="F72" s="64"/>
      <c r="G72" s="64"/>
      <c r="H72" s="17">
        <v>2</v>
      </c>
      <c r="I72" s="63">
        <f>22858.88/H72</f>
        <v>11429.44</v>
      </c>
      <c r="J72" s="10"/>
      <c r="K72" s="17"/>
      <c r="L72" s="63"/>
      <c r="M72" s="17">
        <v>4</v>
      </c>
      <c r="N72" s="63">
        <v>9108.98</v>
      </c>
      <c r="O72" s="90"/>
      <c r="P72" s="17"/>
      <c r="Q72" s="63"/>
      <c r="R72" s="17">
        <v>4</v>
      </c>
      <c r="S72" s="63">
        <v>7093.23</v>
      </c>
      <c r="T72" s="90"/>
      <c r="U72" s="17"/>
      <c r="V72" s="63"/>
      <c r="W72" s="17"/>
      <c r="X72" s="63"/>
      <c r="Y72" s="90"/>
      <c r="Z72" s="17"/>
      <c r="AA72" s="63"/>
      <c r="AB72" s="17"/>
      <c r="AC72" s="63"/>
      <c r="AD72" s="90"/>
      <c r="AE72" s="17"/>
      <c r="AF72" s="63"/>
      <c r="AG72" s="17"/>
      <c r="AH72" s="63"/>
      <c r="AI72" s="90"/>
      <c r="AJ72" s="17"/>
      <c r="AK72" s="63"/>
    </row>
    <row r="73" spans="1:37" ht="18" customHeight="1">
      <c r="A73" s="164"/>
      <c r="B73" s="6" t="s">
        <v>14</v>
      </c>
      <c r="C73" s="17">
        <v>2</v>
      </c>
      <c r="D73" s="63">
        <f>10746.38/C73</f>
        <v>5373.19</v>
      </c>
      <c r="E73" s="10"/>
      <c r="F73" s="64"/>
      <c r="G73" s="64"/>
      <c r="H73" s="17">
        <v>2</v>
      </c>
      <c r="I73" s="63">
        <f>18679.54/H73</f>
        <v>9339.77</v>
      </c>
      <c r="J73" s="10"/>
      <c r="K73" s="17"/>
      <c r="L73" s="63"/>
      <c r="M73" s="17">
        <v>2</v>
      </c>
      <c r="N73" s="63">
        <v>8589.39</v>
      </c>
      <c r="O73" s="90"/>
      <c r="P73" s="17"/>
      <c r="Q73" s="63"/>
      <c r="R73" s="17">
        <v>1</v>
      </c>
      <c r="S73" s="63">
        <v>14433.02</v>
      </c>
      <c r="T73" s="90"/>
      <c r="U73" s="17"/>
      <c r="V73" s="63"/>
      <c r="W73" s="17">
        <v>3</v>
      </c>
      <c r="X73" s="63">
        <v>6024.543333333334</v>
      </c>
      <c r="Y73" s="90"/>
      <c r="Z73" s="17"/>
      <c r="AA73" s="63"/>
      <c r="AB73" s="17">
        <v>2</v>
      </c>
      <c r="AC73" s="63">
        <f>23944.74/AB73</f>
        <v>11972.37</v>
      </c>
      <c r="AD73" s="90"/>
      <c r="AE73" s="17"/>
      <c r="AF73" s="63"/>
      <c r="AG73" s="17">
        <v>2</v>
      </c>
      <c r="AH73" s="63">
        <f>26199.73/AG73</f>
        <v>13099.865</v>
      </c>
      <c r="AI73" s="90"/>
      <c r="AJ73" s="17"/>
      <c r="AK73" s="63"/>
    </row>
    <row r="74" spans="1:37" ht="18" customHeight="1">
      <c r="A74" s="164"/>
      <c r="B74" s="6" t="s">
        <v>15</v>
      </c>
      <c r="C74" s="17">
        <v>2</v>
      </c>
      <c r="D74" s="63">
        <f>26472.91/C74</f>
        <v>13236.455</v>
      </c>
      <c r="E74" s="10"/>
      <c r="F74" s="64"/>
      <c r="G74" s="64"/>
      <c r="H74" s="17">
        <v>2</v>
      </c>
      <c r="I74" s="63">
        <f>19645.11/H74</f>
        <v>9822.555</v>
      </c>
      <c r="J74" s="10"/>
      <c r="K74" s="17"/>
      <c r="L74" s="63"/>
      <c r="M74" s="17">
        <v>2</v>
      </c>
      <c r="N74" s="63">
        <v>9272.32</v>
      </c>
      <c r="O74" s="105"/>
      <c r="P74" s="17"/>
      <c r="Q74" s="63"/>
      <c r="R74" s="17">
        <v>1</v>
      </c>
      <c r="S74" s="63">
        <v>11100.85</v>
      </c>
      <c r="T74" s="105"/>
      <c r="U74" s="17"/>
      <c r="V74" s="63"/>
      <c r="W74" s="17"/>
      <c r="X74" s="63"/>
      <c r="Y74" s="105"/>
      <c r="Z74" s="17"/>
      <c r="AA74" s="63"/>
      <c r="AB74" s="17"/>
      <c r="AC74" s="63"/>
      <c r="AD74" s="105"/>
      <c r="AE74" s="17"/>
      <c r="AF74" s="63"/>
      <c r="AG74" s="17"/>
      <c r="AH74" s="63"/>
      <c r="AI74" s="105"/>
      <c r="AJ74" s="17"/>
      <c r="AK74" s="63"/>
    </row>
    <row r="75" spans="1:37" ht="18" customHeight="1">
      <c r="A75" s="164"/>
      <c r="B75" s="6" t="s">
        <v>16</v>
      </c>
      <c r="C75" s="17">
        <v>3</v>
      </c>
      <c r="D75" s="63">
        <f>37942.99/C75</f>
        <v>12647.663333333332</v>
      </c>
      <c r="E75" s="10"/>
      <c r="F75" s="64"/>
      <c r="G75" s="64"/>
      <c r="H75" s="17">
        <v>3</v>
      </c>
      <c r="I75" s="63">
        <f>36353.97/H75</f>
        <v>12117.99</v>
      </c>
      <c r="J75" s="10"/>
      <c r="K75" s="17"/>
      <c r="L75" s="63"/>
      <c r="M75" s="17">
        <v>3</v>
      </c>
      <c r="N75" s="63">
        <v>9556.403333333334</v>
      </c>
      <c r="O75" s="106"/>
      <c r="P75" s="17"/>
      <c r="Q75" s="63"/>
      <c r="R75" s="17">
        <v>1</v>
      </c>
      <c r="S75" s="63">
        <v>12533.5</v>
      </c>
      <c r="T75" s="106"/>
      <c r="U75" s="17"/>
      <c r="V75" s="63"/>
      <c r="W75" s="17">
        <v>1</v>
      </c>
      <c r="X75" s="63">
        <v>12839.64</v>
      </c>
      <c r="Y75" s="106"/>
      <c r="Z75" s="17"/>
      <c r="AA75" s="63"/>
      <c r="AB75" s="17">
        <v>1</v>
      </c>
      <c r="AC75" s="63">
        <f>13112.31/AB75</f>
        <v>13112.31</v>
      </c>
      <c r="AD75" s="106"/>
      <c r="AE75" s="17"/>
      <c r="AF75" s="63"/>
      <c r="AG75" s="17">
        <v>1</v>
      </c>
      <c r="AH75" s="63">
        <f>16322.48/AG75</f>
        <v>16322.48</v>
      </c>
      <c r="AI75" s="106"/>
      <c r="AJ75" s="17"/>
      <c r="AK75" s="63"/>
    </row>
    <row r="76" spans="1:37" ht="18" customHeight="1">
      <c r="A76" s="164"/>
      <c r="B76" s="6" t="s">
        <v>17</v>
      </c>
      <c r="C76" s="17">
        <v>1</v>
      </c>
      <c r="D76" s="63">
        <f>10447.29/C76</f>
        <v>10447.29</v>
      </c>
      <c r="E76" s="10"/>
      <c r="F76" s="64"/>
      <c r="G76" s="64"/>
      <c r="H76" s="17">
        <v>1</v>
      </c>
      <c r="I76" s="63">
        <f>7229.31/H76</f>
        <v>7229.31</v>
      </c>
      <c r="J76" s="10"/>
      <c r="K76" s="17"/>
      <c r="L76" s="63"/>
      <c r="M76" s="17">
        <v>1</v>
      </c>
      <c r="N76" s="63">
        <v>7248.98</v>
      </c>
      <c r="O76" s="90"/>
      <c r="P76" s="17"/>
      <c r="Q76" s="63"/>
      <c r="R76" s="17">
        <v>1</v>
      </c>
      <c r="S76" s="63">
        <v>7267.58</v>
      </c>
      <c r="T76" s="90"/>
      <c r="U76" s="17"/>
      <c r="V76" s="63"/>
      <c r="W76" s="17"/>
      <c r="X76" s="63"/>
      <c r="Y76" s="90"/>
      <c r="Z76" s="17"/>
      <c r="AA76" s="63"/>
      <c r="AB76" s="17"/>
      <c r="AC76" s="63"/>
      <c r="AD76" s="90"/>
      <c r="AE76" s="17"/>
      <c r="AF76" s="63"/>
      <c r="AG76" s="17"/>
      <c r="AH76" s="63"/>
      <c r="AI76" s="90"/>
      <c r="AJ76" s="17"/>
      <c r="AK76" s="63"/>
    </row>
    <row r="77" spans="1:37" ht="18" customHeight="1">
      <c r="A77" s="164"/>
      <c r="B77" s="6" t="s">
        <v>90</v>
      </c>
      <c r="C77" s="17"/>
      <c r="D77" s="63"/>
      <c r="E77" s="10"/>
      <c r="F77" s="64"/>
      <c r="G77" s="64"/>
      <c r="H77" s="17"/>
      <c r="I77" s="63"/>
      <c r="J77" s="10"/>
      <c r="K77" s="17"/>
      <c r="L77" s="63"/>
      <c r="M77" s="17"/>
      <c r="N77" s="63"/>
      <c r="O77" s="90"/>
      <c r="P77" s="17"/>
      <c r="Q77" s="63"/>
      <c r="R77" s="17"/>
      <c r="S77" s="63"/>
      <c r="T77" s="90"/>
      <c r="U77" s="17"/>
      <c r="V77" s="63"/>
      <c r="W77" s="17">
        <v>10</v>
      </c>
      <c r="X77" s="63">
        <v>9380.421180000001</v>
      </c>
      <c r="Y77" s="90"/>
      <c r="Z77" s="17"/>
      <c r="AA77" s="63"/>
      <c r="AB77" s="17">
        <v>11</v>
      </c>
      <c r="AC77" s="63">
        <f>90120.65/AB77</f>
        <v>8192.786363636364</v>
      </c>
      <c r="AD77" s="90"/>
      <c r="AE77" s="17"/>
      <c r="AF77" s="63"/>
      <c r="AG77" s="17">
        <v>10</v>
      </c>
      <c r="AH77" s="63">
        <f>93037.16/AG77</f>
        <v>9303.716</v>
      </c>
      <c r="AI77" s="90"/>
      <c r="AJ77" s="17"/>
      <c r="AK77" s="63"/>
    </row>
    <row r="78" spans="1:37" ht="18" customHeight="1">
      <c r="A78" s="164"/>
      <c r="B78" s="6" t="s">
        <v>18</v>
      </c>
      <c r="C78" s="17">
        <v>4</v>
      </c>
      <c r="D78" s="63">
        <f>33183.2/C78</f>
        <v>8295.8</v>
      </c>
      <c r="E78" s="10"/>
      <c r="F78" s="64"/>
      <c r="G78" s="64"/>
      <c r="H78" s="17">
        <v>4</v>
      </c>
      <c r="I78" s="63">
        <f>42903.06/H78</f>
        <v>10725.765</v>
      </c>
      <c r="J78" s="10"/>
      <c r="K78" s="17"/>
      <c r="L78" s="63"/>
      <c r="M78" s="17">
        <v>4</v>
      </c>
      <c r="N78" s="63">
        <v>13424.6575</v>
      </c>
      <c r="O78" s="90"/>
      <c r="P78" s="17"/>
      <c r="Q78" s="63"/>
      <c r="R78" s="17">
        <v>4</v>
      </c>
      <c r="S78" s="63">
        <v>12468.2177</v>
      </c>
      <c r="T78" s="90"/>
      <c r="U78" s="17"/>
      <c r="V78" s="63"/>
      <c r="W78" s="17">
        <v>4</v>
      </c>
      <c r="X78" s="63">
        <v>12535.476449999998</v>
      </c>
      <c r="Y78" s="90"/>
      <c r="Z78" s="17"/>
      <c r="AA78" s="63"/>
      <c r="AB78" s="17">
        <v>4</v>
      </c>
      <c r="AC78" s="63">
        <f>50489.42/AB78</f>
        <v>12622.355</v>
      </c>
      <c r="AD78" s="90"/>
      <c r="AE78" s="17"/>
      <c r="AF78" s="63"/>
      <c r="AG78" s="17">
        <v>4</v>
      </c>
      <c r="AH78" s="63">
        <f>54020.79/AG78</f>
        <v>13505.1975</v>
      </c>
      <c r="AI78" s="90"/>
      <c r="AJ78" s="17"/>
      <c r="AK78" s="63"/>
    </row>
    <row r="79" spans="1:37" s="60" customFormat="1" ht="18" customHeight="1">
      <c r="A79" s="164"/>
      <c r="B79" s="44" t="s">
        <v>19</v>
      </c>
      <c r="C79" s="56">
        <f>SUM(C69:C78)</f>
        <v>26</v>
      </c>
      <c r="D79" s="20">
        <f>269156.33/C79</f>
        <v>10352.166538461539</v>
      </c>
      <c r="E79" s="55"/>
      <c r="F79" s="55"/>
      <c r="G79" s="55"/>
      <c r="H79" s="56">
        <f>SUM(H69:H78)</f>
        <v>29</v>
      </c>
      <c r="I79" s="20">
        <f>294171.69/H79</f>
        <v>10143.851379310345</v>
      </c>
      <c r="J79" s="55"/>
      <c r="K79" s="56"/>
      <c r="L79" s="20"/>
      <c r="M79" s="56">
        <f>SUM(M69:M78)</f>
        <v>32</v>
      </c>
      <c r="N79" s="20">
        <f>309682.2/M79</f>
        <v>9677.56875</v>
      </c>
      <c r="O79" s="55"/>
      <c r="P79" s="56"/>
      <c r="Q79" s="20"/>
      <c r="R79" s="56">
        <f>SUM(R69:R78)</f>
        <v>28</v>
      </c>
      <c r="S79" s="20">
        <v>10431.578857142857</v>
      </c>
      <c r="T79" s="55"/>
      <c r="U79" s="56"/>
      <c r="V79" s="20"/>
      <c r="W79" s="56">
        <f>SUM(W69:W78)</f>
        <v>30</v>
      </c>
      <c r="X79" s="20">
        <v>10520.673573333333</v>
      </c>
      <c r="Y79" s="55"/>
      <c r="Z79" s="56"/>
      <c r="AA79" s="20"/>
      <c r="AB79" s="56">
        <f>SUM(AB69:AB78)</f>
        <v>32</v>
      </c>
      <c r="AC79" s="20">
        <f>314229.29/AB79</f>
        <v>9819.6653125</v>
      </c>
      <c r="AD79" s="55"/>
      <c r="AE79" s="56"/>
      <c r="AF79" s="20"/>
      <c r="AG79" s="56">
        <f>SUM(AG69:AG78)</f>
        <v>29</v>
      </c>
      <c r="AH79" s="20">
        <f>314229.29/AG79</f>
        <v>10835.492758620689</v>
      </c>
      <c r="AI79" s="55"/>
      <c r="AJ79" s="56"/>
      <c r="AK79" s="20"/>
    </row>
    <row r="80" spans="1:37" ht="18" customHeight="1">
      <c r="A80" s="164" t="s">
        <v>88</v>
      </c>
      <c r="B80" s="6" t="s">
        <v>10</v>
      </c>
      <c r="C80" s="17">
        <v>3</v>
      </c>
      <c r="D80" s="63">
        <f>2244/C80</f>
        <v>748</v>
      </c>
      <c r="E80" s="33"/>
      <c r="F80" s="64"/>
      <c r="G80" s="64"/>
      <c r="H80" s="17">
        <v>3</v>
      </c>
      <c r="I80" s="63">
        <f>3002/H80</f>
        <v>1000.6666666666666</v>
      </c>
      <c r="J80" s="33"/>
      <c r="K80" s="12"/>
      <c r="L80" s="9"/>
      <c r="M80" s="17">
        <v>2</v>
      </c>
      <c r="N80" s="63">
        <v>940.5</v>
      </c>
      <c r="O80" s="29">
        <v>111</v>
      </c>
      <c r="P80" s="29"/>
      <c r="Q80" s="9"/>
      <c r="R80" s="17">
        <v>1</v>
      </c>
      <c r="S80" s="63">
        <v>1087</v>
      </c>
      <c r="T80" s="29">
        <v>130</v>
      </c>
      <c r="U80" s="29"/>
      <c r="V80" s="9"/>
      <c r="W80" s="74"/>
      <c r="X80" s="63"/>
      <c r="Y80" s="29"/>
      <c r="Z80" s="29"/>
      <c r="AA80" s="9"/>
      <c r="AB80" s="74"/>
      <c r="AC80" s="63"/>
      <c r="AD80" s="29"/>
      <c r="AE80" s="29"/>
      <c r="AF80" s="9"/>
      <c r="AG80" s="74"/>
      <c r="AH80" s="63"/>
      <c r="AI80" s="29"/>
      <c r="AJ80" s="29"/>
      <c r="AK80" s="9"/>
    </row>
    <row r="81" spans="1:37" ht="18" customHeight="1">
      <c r="A81" s="164"/>
      <c r="B81" s="6" t="s">
        <v>11</v>
      </c>
      <c r="C81" s="17">
        <v>12</v>
      </c>
      <c r="D81" s="63">
        <f>19573/C81</f>
        <v>1631.0833333333333</v>
      </c>
      <c r="E81" s="33"/>
      <c r="F81" s="64"/>
      <c r="G81" s="64"/>
      <c r="H81" s="17">
        <v>17</v>
      </c>
      <c r="I81" s="63">
        <f>17160/H81</f>
        <v>1009.4117647058823</v>
      </c>
      <c r="J81" s="33"/>
      <c r="K81" s="12"/>
      <c r="L81" s="9"/>
      <c r="M81" s="17">
        <v>18</v>
      </c>
      <c r="N81" s="63">
        <v>1081.0555555555557</v>
      </c>
      <c r="O81" s="29">
        <v>117.88888888888889</v>
      </c>
      <c r="P81" s="29"/>
      <c r="Q81" s="9"/>
      <c r="R81" s="17">
        <v>17</v>
      </c>
      <c r="S81" s="63">
        <v>1020.6323529411765</v>
      </c>
      <c r="T81" s="29">
        <v>113.33823529411765</v>
      </c>
      <c r="U81" s="29"/>
      <c r="V81" s="9"/>
      <c r="W81" s="74"/>
      <c r="X81" s="63"/>
      <c r="Y81" s="29"/>
      <c r="Z81" s="29"/>
      <c r="AA81" s="9"/>
      <c r="AB81" s="74"/>
      <c r="AC81" s="63"/>
      <c r="AD81" s="29"/>
      <c r="AE81" s="29"/>
      <c r="AF81" s="9"/>
      <c r="AG81" s="74"/>
      <c r="AH81" s="63"/>
      <c r="AI81" s="29"/>
      <c r="AJ81" s="29"/>
      <c r="AK81" s="9"/>
    </row>
    <row r="82" spans="1:37" ht="18" customHeight="1">
      <c r="A82" s="164"/>
      <c r="B82" s="6" t="s">
        <v>12</v>
      </c>
      <c r="C82" s="17">
        <v>1</v>
      </c>
      <c r="D82" s="63">
        <v>574</v>
      </c>
      <c r="E82" s="33"/>
      <c r="F82" s="64"/>
      <c r="G82" s="64"/>
      <c r="H82" s="17">
        <v>1</v>
      </c>
      <c r="I82" s="63">
        <f>432/H82</f>
        <v>432</v>
      </c>
      <c r="J82" s="33"/>
      <c r="K82" s="13"/>
      <c r="L82" s="9"/>
      <c r="M82" s="17">
        <v>2</v>
      </c>
      <c r="N82" s="63">
        <v>582.5</v>
      </c>
      <c r="O82" s="29">
        <v>119</v>
      </c>
      <c r="P82" s="29"/>
      <c r="Q82" s="9"/>
      <c r="R82" s="17">
        <v>1</v>
      </c>
      <c r="S82" s="63">
        <v>240</v>
      </c>
      <c r="T82" s="29">
        <v>60</v>
      </c>
      <c r="U82" s="29"/>
      <c r="V82" s="9"/>
      <c r="W82" s="74"/>
      <c r="X82" s="63"/>
      <c r="Y82" s="29"/>
      <c r="Z82" s="29"/>
      <c r="AA82" s="9"/>
      <c r="AB82" s="74"/>
      <c r="AC82" s="63"/>
      <c r="AD82" s="29"/>
      <c r="AE82" s="29"/>
      <c r="AF82" s="9"/>
      <c r="AG82" s="74"/>
      <c r="AH82" s="63"/>
      <c r="AI82" s="29"/>
      <c r="AJ82" s="29"/>
      <c r="AK82" s="9"/>
    </row>
    <row r="83" spans="1:37" ht="18" customHeight="1">
      <c r="A83" s="164"/>
      <c r="B83" s="6" t="s">
        <v>13</v>
      </c>
      <c r="C83" s="17">
        <v>6</v>
      </c>
      <c r="D83" s="63">
        <f>3626/C83</f>
        <v>604.3333333333334</v>
      </c>
      <c r="E83" s="33"/>
      <c r="F83" s="64"/>
      <c r="G83" s="64"/>
      <c r="H83" s="17">
        <v>7</v>
      </c>
      <c r="I83" s="63">
        <f>6889/H83</f>
        <v>984.1428571428571</v>
      </c>
      <c r="J83" s="33"/>
      <c r="K83" s="12"/>
      <c r="L83" s="9"/>
      <c r="M83" s="17">
        <v>7</v>
      </c>
      <c r="N83" s="63">
        <v>982.0285714285714</v>
      </c>
      <c r="O83" s="29">
        <v>125.28571428571429</v>
      </c>
      <c r="P83" s="29"/>
      <c r="Q83" s="9"/>
      <c r="R83" s="17">
        <v>6</v>
      </c>
      <c r="S83" s="63">
        <v>1091</v>
      </c>
      <c r="T83" s="29">
        <v>126.83333333333333</v>
      </c>
      <c r="U83" s="29"/>
      <c r="V83" s="9"/>
      <c r="W83" s="74"/>
      <c r="X83" s="63"/>
      <c r="Y83" s="29"/>
      <c r="Z83" s="29"/>
      <c r="AA83" s="9"/>
      <c r="AB83" s="74"/>
      <c r="AC83" s="63"/>
      <c r="AD83" s="29"/>
      <c r="AE83" s="29"/>
      <c r="AF83" s="9"/>
      <c r="AG83" s="74"/>
      <c r="AH83" s="63"/>
      <c r="AI83" s="29"/>
      <c r="AJ83" s="29"/>
      <c r="AK83" s="9"/>
    </row>
    <row r="84" spans="1:37" ht="18" customHeight="1">
      <c r="A84" s="164"/>
      <c r="B84" s="6" t="s">
        <v>14</v>
      </c>
      <c r="C84" s="17">
        <v>3</v>
      </c>
      <c r="D84" s="63">
        <f>3912/C84</f>
        <v>1304</v>
      </c>
      <c r="E84" s="33"/>
      <c r="F84" s="64"/>
      <c r="G84" s="64"/>
      <c r="H84" s="17">
        <v>5</v>
      </c>
      <c r="I84" s="63">
        <f>6418/H84</f>
        <v>1283.6</v>
      </c>
      <c r="J84" s="33"/>
      <c r="K84" s="12"/>
      <c r="L84" s="9"/>
      <c r="M84" s="17">
        <v>8</v>
      </c>
      <c r="N84" s="63">
        <v>941.5</v>
      </c>
      <c r="O84" s="29">
        <v>125.25</v>
      </c>
      <c r="P84" s="29"/>
      <c r="Q84" s="9"/>
      <c r="R84" s="17">
        <v>5</v>
      </c>
      <c r="S84" s="63">
        <v>781.8285714285714</v>
      </c>
      <c r="T84" s="29">
        <v>92.22857142857143</v>
      </c>
      <c r="U84" s="29"/>
      <c r="V84" s="9"/>
      <c r="W84" s="74"/>
      <c r="X84" s="63"/>
      <c r="Y84" s="29"/>
      <c r="Z84" s="29"/>
      <c r="AA84" s="9"/>
      <c r="AB84" s="74"/>
      <c r="AC84" s="63"/>
      <c r="AD84" s="29"/>
      <c r="AE84" s="29"/>
      <c r="AF84" s="9"/>
      <c r="AG84" s="74"/>
      <c r="AH84" s="63"/>
      <c r="AI84" s="29"/>
      <c r="AJ84" s="29"/>
      <c r="AK84" s="9"/>
    </row>
    <row r="85" spans="1:37" ht="18" customHeight="1">
      <c r="A85" s="164"/>
      <c r="B85" s="6" t="s">
        <v>15</v>
      </c>
      <c r="C85" s="17">
        <v>4</v>
      </c>
      <c r="D85" s="63">
        <f>4202/C85</f>
        <v>1050.5</v>
      </c>
      <c r="E85" s="33"/>
      <c r="F85" s="64"/>
      <c r="G85" s="64"/>
      <c r="H85" s="17">
        <v>3</v>
      </c>
      <c r="I85" s="63">
        <f>1799/H85</f>
        <v>599.6666666666666</v>
      </c>
      <c r="J85" s="33"/>
      <c r="K85" s="12"/>
      <c r="L85" s="9"/>
      <c r="M85" s="17">
        <v>2</v>
      </c>
      <c r="N85" s="63">
        <v>1078.5</v>
      </c>
      <c r="O85" s="29">
        <v>202.5</v>
      </c>
      <c r="P85" s="29"/>
      <c r="Q85" s="9"/>
      <c r="R85" s="17">
        <v>2</v>
      </c>
      <c r="S85" s="63">
        <v>979</v>
      </c>
      <c r="T85" s="29">
        <v>133</v>
      </c>
      <c r="U85" s="29"/>
      <c r="V85" s="9"/>
      <c r="W85" s="74"/>
      <c r="X85" s="63"/>
      <c r="Y85" s="29"/>
      <c r="Z85" s="29"/>
      <c r="AA85" s="9"/>
      <c r="AB85" s="74"/>
      <c r="AC85" s="63"/>
      <c r="AD85" s="29"/>
      <c r="AE85" s="29"/>
      <c r="AF85" s="9"/>
      <c r="AG85" s="74"/>
      <c r="AH85" s="63"/>
      <c r="AI85" s="29"/>
      <c r="AJ85" s="29"/>
      <c r="AK85" s="9"/>
    </row>
    <row r="86" spans="1:37" ht="18" customHeight="1">
      <c r="A86" s="164"/>
      <c r="B86" s="6" t="s">
        <v>16</v>
      </c>
      <c r="C86" s="17">
        <v>5</v>
      </c>
      <c r="D86" s="63">
        <f>11858/C86</f>
        <v>2371.6</v>
      </c>
      <c r="E86" s="33"/>
      <c r="F86" s="64"/>
      <c r="G86" s="64"/>
      <c r="H86" s="17">
        <v>8</v>
      </c>
      <c r="I86" s="63">
        <f>9849/H86</f>
        <v>1231.125</v>
      </c>
      <c r="J86" s="33"/>
      <c r="K86" s="12"/>
      <c r="L86" s="9"/>
      <c r="M86" s="17">
        <v>10</v>
      </c>
      <c r="N86" s="63">
        <v>1214.1</v>
      </c>
      <c r="O86" s="29">
        <v>166</v>
      </c>
      <c r="P86" s="29"/>
      <c r="Q86" s="9"/>
      <c r="R86" s="17">
        <v>10</v>
      </c>
      <c r="S86" s="63">
        <v>963.1333333333332</v>
      </c>
      <c r="T86" s="29">
        <v>105.23333333333335</v>
      </c>
      <c r="U86" s="29"/>
      <c r="V86" s="9"/>
      <c r="W86" s="74"/>
      <c r="X86" s="63"/>
      <c r="Y86" s="29"/>
      <c r="Z86" s="29"/>
      <c r="AA86" s="9"/>
      <c r="AB86" s="74"/>
      <c r="AC86" s="63"/>
      <c r="AD86" s="29"/>
      <c r="AE86" s="29"/>
      <c r="AF86" s="9"/>
      <c r="AG86" s="74"/>
      <c r="AH86" s="63"/>
      <c r="AI86" s="29"/>
      <c r="AJ86" s="29"/>
      <c r="AK86" s="9"/>
    </row>
    <row r="87" spans="1:37" ht="18" customHeight="1">
      <c r="A87" s="164"/>
      <c r="B87" s="6" t="s">
        <v>17</v>
      </c>
      <c r="C87" s="17">
        <v>1</v>
      </c>
      <c r="D87" s="63">
        <f>10048/C87</f>
        <v>10048</v>
      </c>
      <c r="E87" s="33"/>
      <c r="F87" s="64"/>
      <c r="G87" s="64"/>
      <c r="H87" s="17">
        <v>1</v>
      </c>
      <c r="I87" s="63">
        <f>9708/H87</f>
        <v>9708</v>
      </c>
      <c r="J87" s="33"/>
      <c r="K87" s="12"/>
      <c r="L87" s="9"/>
      <c r="M87" s="17">
        <v>1</v>
      </c>
      <c r="N87" s="63">
        <v>9304</v>
      </c>
      <c r="O87" s="29">
        <v>296</v>
      </c>
      <c r="P87" s="29"/>
      <c r="Q87" s="9"/>
      <c r="R87" s="17">
        <v>0</v>
      </c>
      <c r="S87" s="63"/>
      <c r="T87" s="29"/>
      <c r="U87" s="29"/>
      <c r="V87" s="9"/>
      <c r="W87" s="74"/>
      <c r="X87" s="63"/>
      <c r="Y87" s="29"/>
      <c r="Z87" s="29"/>
      <c r="AA87" s="9"/>
      <c r="AB87" s="74"/>
      <c r="AC87" s="63"/>
      <c r="AD87" s="29"/>
      <c r="AE87" s="29"/>
      <c r="AF87" s="9"/>
      <c r="AG87" s="74"/>
      <c r="AH87" s="63"/>
      <c r="AI87" s="29"/>
      <c r="AJ87" s="29"/>
      <c r="AK87" s="9"/>
    </row>
    <row r="88" spans="1:37" ht="18" customHeight="1">
      <c r="A88" s="164"/>
      <c r="B88" s="6" t="s">
        <v>90</v>
      </c>
      <c r="C88" s="17"/>
      <c r="D88" s="63"/>
      <c r="E88" s="33"/>
      <c r="F88" s="64"/>
      <c r="G88" s="64"/>
      <c r="H88" s="17"/>
      <c r="I88" s="63"/>
      <c r="J88" s="33"/>
      <c r="K88" s="12"/>
      <c r="L88" s="9"/>
      <c r="M88" s="17"/>
      <c r="N88" s="63"/>
      <c r="O88" s="29"/>
      <c r="P88" s="29"/>
      <c r="Q88" s="9"/>
      <c r="R88" s="17"/>
      <c r="S88" s="63"/>
      <c r="T88" s="29"/>
      <c r="U88" s="29"/>
      <c r="V88" s="9"/>
      <c r="W88" s="74"/>
      <c r="X88" s="63"/>
      <c r="Y88" s="29"/>
      <c r="Z88" s="29"/>
      <c r="AA88" s="9"/>
      <c r="AB88" s="74"/>
      <c r="AC88" s="63"/>
      <c r="AD88" s="29"/>
      <c r="AE88" s="29"/>
      <c r="AF88" s="9"/>
      <c r="AG88" s="74"/>
      <c r="AH88" s="63"/>
      <c r="AI88" s="29"/>
      <c r="AJ88" s="29"/>
      <c r="AK88" s="9"/>
    </row>
    <row r="89" spans="1:37" ht="18" customHeight="1">
      <c r="A89" s="164"/>
      <c r="B89" s="6" t="s">
        <v>18</v>
      </c>
      <c r="C89" s="17">
        <v>12</v>
      </c>
      <c r="D89" s="63">
        <f>20361/C89</f>
        <v>1696.75</v>
      </c>
      <c r="E89" s="33"/>
      <c r="F89" s="64"/>
      <c r="G89" s="64"/>
      <c r="H89" s="17">
        <v>11</v>
      </c>
      <c r="I89" s="63">
        <f>15707/H89</f>
        <v>1427.909090909091</v>
      </c>
      <c r="J89" s="33"/>
      <c r="K89" s="12"/>
      <c r="L89" s="9"/>
      <c r="M89" s="17">
        <v>13</v>
      </c>
      <c r="N89" s="63">
        <v>1368.5384615384614</v>
      </c>
      <c r="O89" s="29">
        <v>132.07692307692307</v>
      </c>
      <c r="P89" s="29"/>
      <c r="Q89" s="9"/>
      <c r="R89" s="17">
        <v>13</v>
      </c>
      <c r="S89" s="63">
        <v>655.6276923076923</v>
      </c>
      <c r="T89" s="29">
        <v>83.78153846153845</v>
      </c>
      <c r="U89" s="29"/>
      <c r="V89" s="9"/>
      <c r="W89" s="74"/>
      <c r="X89" s="63"/>
      <c r="Y89" s="29"/>
      <c r="Z89" s="29"/>
      <c r="AA89" s="9"/>
      <c r="AB89" s="74"/>
      <c r="AC89" s="63"/>
      <c r="AD89" s="29"/>
      <c r="AE89" s="29"/>
      <c r="AF89" s="9"/>
      <c r="AG89" s="74"/>
      <c r="AH89" s="63"/>
      <c r="AI89" s="29"/>
      <c r="AJ89" s="29"/>
      <c r="AK89" s="9"/>
    </row>
    <row r="90" spans="1:37" s="60" customFormat="1" ht="18" customHeight="1">
      <c r="A90" s="164"/>
      <c r="B90" s="44" t="s">
        <v>19</v>
      </c>
      <c r="C90" s="56">
        <f>SUM(C80:C89)</f>
        <v>47</v>
      </c>
      <c r="D90" s="20">
        <f>76398/C90</f>
        <v>1625.4893617021276</v>
      </c>
      <c r="E90" s="55"/>
      <c r="F90" s="55"/>
      <c r="G90" s="55"/>
      <c r="H90" s="56">
        <f>SUM(H80:H89)</f>
        <v>56</v>
      </c>
      <c r="I90" s="20">
        <f>70964/H90</f>
        <v>1267.2142857142858</v>
      </c>
      <c r="J90" s="55"/>
      <c r="K90" s="56"/>
      <c r="L90" s="20"/>
      <c r="M90" s="56">
        <f>SUM(M80:M89)</f>
        <v>63</v>
      </c>
      <c r="N90" s="20">
        <f>78304.2/M90</f>
        <v>1242.9238095238095</v>
      </c>
      <c r="O90" s="55">
        <f>8539/M90</f>
        <v>135.53968253968253</v>
      </c>
      <c r="P90" s="56"/>
      <c r="Q90" s="20"/>
      <c r="R90" s="56">
        <f>SUM(R80:R89)</f>
        <v>55</v>
      </c>
      <c r="S90" s="20">
        <v>895.370658008658</v>
      </c>
      <c r="T90" s="55">
        <v>104.47974891774892</v>
      </c>
      <c r="U90" s="56"/>
      <c r="V90" s="20"/>
      <c r="W90" s="56">
        <f>SUM(W80:W89)</f>
        <v>0</v>
      </c>
      <c r="X90" s="20"/>
      <c r="Y90" s="55"/>
      <c r="Z90" s="56"/>
      <c r="AA90" s="20"/>
      <c r="AB90" s="56">
        <f>SUM(AB80:AB89)</f>
        <v>0</v>
      </c>
      <c r="AC90" s="20"/>
      <c r="AD90" s="55"/>
      <c r="AE90" s="56"/>
      <c r="AF90" s="20"/>
      <c r="AG90" s="56">
        <f>SUM(AG80:AG89)</f>
        <v>0</v>
      </c>
      <c r="AH90" s="20"/>
      <c r="AI90" s="55"/>
      <c r="AJ90" s="56"/>
      <c r="AK90" s="20"/>
    </row>
    <row r="91" spans="1:37" ht="18" customHeight="1">
      <c r="A91" s="164" t="s">
        <v>84</v>
      </c>
      <c r="B91" s="6" t="s">
        <v>10</v>
      </c>
      <c r="C91" s="17"/>
      <c r="D91" s="63"/>
      <c r="E91" s="33"/>
      <c r="F91" s="64"/>
      <c r="G91" s="64"/>
      <c r="H91" s="17"/>
      <c r="I91" s="63"/>
      <c r="J91" s="33"/>
      <c r="K91" s="12"/>
      <c r="L91" s="9"/>
      <c r="M91" s="17"/>
      <c r="N91" s="63"/>
      <c r="O91" s="29"/>
      <c r="P91" s="29"/>
      <c r="Q91" s="9"/>
      <c r="R91" s="74">
        <v>2</v>
      </c>
      <c r="S91" s="63">
        <v>2717.5</v>
      </c>
      <c r="T91" s="29">
        <v>251.5</v>
      </c>
      <c r="U91" s="29"/>
      <c r="V91" s="9"/>
      <c r="W91" s="74"/>
      <c r="X91" s="63"/>
      <c r="Y91" s="29"/>
      <c r="Z91" s="29"/>
      <c r="AA91" s="9"/>
      <c r="AB91" s="74"/>
      <c r="AC91" s="63"/>
      <c r="AD91" s="29"/>
      <c r="AE91" s="29"/>
      <c r="AF91" s="9"/>
      <c r="AG91" s="74"/>
      <c r="AH91" s="63"/>
      <c r="AI91" s="29"/>
      <c r="AJ91" s="29"/>
      <c r="AK91" s="9"/>
    </row>
    <row r="92" spans="1:37" ht="18" customHeight="1">
      <c r="A92" s="164"/>
      <c r="B92" s="6" t="s">
        <v>11</v>
      </c>
      <c r="C92" s="17"/>
      <c r="D92" s="63"/>
      <c r="E92" s="33"/>
      <c r="F92" s="64"/>
      <c r="G92" s="64"/>
      <c r="H92" s="17"/>
      <c r="I92" s="63"/>
      <c r="J92" s="33"/>
      <c r="K92" s="12"/>
      <c r="L92" s="9"/>
      <c r="M92" s="17"/>
      <c r="N92" s="63"/>
      <c r="O92" s="29"/>
      <c r="P92" s="29"/>
      <c r="Q92" s="9"/>
      <c r="R92" s="74">
        <v>3</v>
      </c>
      <c r="S92" s="63">
        <v>2623.3333333333335</v>
      </c>
      <c r="T92" s="29">
        <v>220.66666666666666</v>
      </c>
      <c r="U92" s="29"/>
      <c r="V92" s="9"/>
      <c r="W92" s="74">
        <v>13</v>
      </c>
      <c r="X92" s="63">
        <f>14338.09/9</f>
        <v>1593.121111111111</v>
      </c>
      <c r="Y92" s="29">
        <v>164.6153846153846</v>
      </c>
      <c r="Z92" s="29"/>
      <c r="AA92" s="9"/>
      <c r="AB92" s="74">
        <v>13</v>
      </c>
      <c r="AC92" s="63">
        <f>18122.85/12</f>
        <v>1510.2375</v>
      </c>
      <c r="AD92" s="29">
        <f>1931/AB92</f>
        <v>148.53846153846155</v>
      </c>
      <c r="AE92" s="29"/>
      <c r="AF92" s="9"/>
      <c r="AG92" s="74">
        <v>14</v>
      </c>
      <c r="AH92" s="63">
        <f>26310/AG92</f>
        <v>1879.2857142857142</v>
      </c>
      <c r="AI92" s="29">
        <f>2481/AG92</f>
        <v>177.21428571428572</v>
      </c>
      <c r="AJ92" s="29"/>
      <c r="AK92" s="9"/>
    </row>
    <row r="93" spans="1:37" ht="18" customHeight="1">
      <c r="A93" s="164"/>
      <c r="B93" s="6" t="s">
        <v>12</v>
      </c>
      <c r="C93" s="17"/>
      <c r="D93" s="63"/>
      <c r="E93" s="33"/>
      <c r="F93" s="64"/>
      <c r="G93" s="64"/>
      <c r="H93" s="17"/>
      <c r="I93" s="63"/>
      <c r="J93" s="33"/>
      <c r="K93" s="13"/>
      <c r="L93" s="9"/>
      <c r="M93" s="17"/>
      <c r="N93" s="63"/>
      <c r="O93" s="29"/>
      <c r="P93" s="29"/>
      <c r="Q93" s="9"/>
      <c r="R93" s="74">
        <v>1</v>
      </c>
      <c r="S93" s="63">
        <v>1793</v>
      </c>
      <c r="T93" s="29">
        <v>148</v>
      </c>
      <c r="U93" s="29"/>
      <c r="V93" s="9"/>
      <c r="W93" s="74"/>
      <c r="X93" s="63"/>
      <c r="Y93" s="29"/>
      <c r="Z93" s="29"/>
      <c r="AA93" s="9"/>
      <c r="AB93" s="74"/>
      <c r="AC93" s="63"/>
      <c r="AD93" s="29"/>
      <c r="AE93" s="29"/>
      <c r="AF93" s="9"/>
      <c r="AG93" s="74"/>
      <c r="AH93" s="63"/>
      <c r="AI93" s="29"/>
      <c r="AJ93" s="29"/>
      <c r="AK93" s="9"/>
    </row>
    <row r="94" spans="1:37" ht="18" customHeight="1">
      <c r="A94" s="164"/>
      <c r="B94" s="6" t="s">
        <v>13</v>
      </c>
      <c r="C94" s="17"/>
      <c r="D94" s="63"/>
      <c r="E94" s="33"/>
      <c r="F94" s="64"/>
      <c r="G94" s="64"/>
      <c r="H94" s="17"/>
      <c r="I94" s="63"/>
      <c r="J94" s="33"/>
      <c r="K94" s="12"/>
      <c r="L94" s="9"/>
      <c r="M94" s="17"/>
      <c r="N94" s="63"/>
      <c r="O94" s="29"/>
      <c r="P94" s="29"/>
      <c r="Q94" s="9"/>
      <c r="R94" s="74">
        <v>1</v>
      </c>
      <c r="S94" s="63">
        <v>1950</v>
      </c>
      <c r="T94" s="29">
        <v>165</v>
      </c>
      <c r="U94" s="29"/>
      <c r="V94" s="9"/>
      <c r="W94" s="74"/>
      <c r="X94" s="63"/>
      <c r="Y94" s="29"/>
      <c r="Z94" s="29"/>
      <c r="AA94" s="9"/>
      <c r="AB94" s="74"/>
      <c r="AC94" s="63"/>
      <c r="AD94" s="29"/>
      <c r="AE94" s="29"/>
      <c r="AF94" s="9"/>
      <c r="AG94" s="74"/>
      <c r="AH94" s="63"/>
      <c r="AI94" s="29"/>
      <c r="AJ94" s="29"/>
      <c r="AK94" s="9"/>
    </row>
    <row r="95" spans="1:37" ht="18" customHeight="1">
      <c r="A95" s="164"/>
      <c r="B95" s="6" t="s">
        <v>14</v>
      </c>
      <c r="C95" s="17"/>
      <c r="D95" s="63"/>
      <c r="E95" s="33"/>
      <c r="F95" s="64"/>
      <c r="G95" s="64"/>
      <c r="H95" s="17"/>
      <c r="I95" s="63"/>
      <c r="J95" s="33"/>
      <c r="K95" s="12"/>
      <c r="L95" s="9"/>
      <c r="M95" s="17"/>
      <c r="N95" s="63"/>
      <c r="O95" s="29"/>
      <c r="P95" s="29"/>
      <c r="Q95" s="9"/>
      <c r="R95" s="74">
        <v>1</v>
      </c>
      <c r="S95" s="63">
        <v>2000</v>
      </c>
      <c r="T95" s="29">
        <v>169</v>
      </c>
      <c r="U95" s="29"/>
      <c r="V95" s="9"/>
      <c r="W95" s="74">
        <v>3</v>
      </c>
      <c r="X95" s="63">
        <f>3399.52/2</f>
        <v>1699.76</v>
      </c>
      <c r="Y95" s="29">
        <v>142</v>
      </c>
      <c r="Z95" s="29"/>
      <c r="AA95" s="9"/>
      <c r="AB95" s="74">
        <v>2</v>
      </c>
      <c r="AC95" s="63">
        <f>3418.33/AB95</f>
        <v>1709.165</v>
      </c>
      <c r="AD95" s="29">
        <f>379/AB95</f>
        <v>189.5</v>
      </c>
      <c r="AE95" s="29"/>
      <c r="AF95" s="9"/>
      <c r="AG95" s="74">
        <v>4</v>
      </c>
      <c r="AH95" s="63">
        <f>7706/AG95</f>
        <v>1926.5</v>
      </c>
      <c r="AI95" s="29">
        <f>686/AG95</f>
        <v>171.5</v>
      </c>
      <c r="AJ95" s="29"/>
      <c r="AK95" s="9"/>
    </row>
    <row r="96" spans="1:37" ht="18" customHeight="1">
      <c r="A96" s="164"/>
      <c r="B96" s="6" t="s">
        <v>15</v>
      </c>
      <c r="C96" s="17"/>
      <c r="D96" s="63"/>
      <c r="E96" s="33"/>
      <c r="F96" s="64"/>
      <c r="G96" s="64"/>
      <c r="H96" s="17"/>
      <c r="I96" s="63"/>
      <c r="J96" s="33"/>
      <c r="K96" s="12"/>
      <c r="L96" s="9"/>
      <c r="M96" s="17"/>
      <c r="N96" s="63"/>
      <c r="O96" s="29"/>
      <c r="P96" s="29"/>
      <c r="Q96" s="9"/>
      <c r="R96" s="74">
        <v>0</v>
      </c>
      <c r="S96" s="63"/>
      <c r="T96" s="29"/>
      <c r="U96" s="29"/>
      <c r="V96" s="9"/>
      <c r="W96" s="74"/>
      <c r="X96" s="63"/>
      <c r="Y96" s="29"/>
      <c r="Z96" s="29"/>
      <c r="AA96" s="9"/>
      <c r="AB96" s="74"/>
      <c r="AC96" s="63"/>
      <c r="AD96" s="29"/>
      <c r="AE96" s="29"/>
      <c r="AF96" s="9"/>
      <c r="AG96" s="74"/>
      <c r="AH96" s="63"/>
      <c r="AI96" s="29"/>
      <c r="AJ96" s="29"/>
      <c r="AK96" s="9"/>
    </row>
    <row r="97" spans="1:37" ht="18" customHeight="1">
      <c r="A97" s="164"/>
      <c r="B97" s="6" t="s">
        <v>16</v>
      </c>
      <c r="C97" s="17"/>
      <c r="D97" s="63"/>
      <c r="E97" s="33"/>
      <c r="F97" s="64"/>
      <c r="G97" s="64"/>
      <c r="H97" s="17"/>
      <c r="I97" s="63"/>
      <c r="J97" s="33"/>
      <c r="K97" s="12"/>
      <c r="L97" s="9"/>
      <c r="M97" s="17"/>
      <c r="N97" s="63"/>
      <c r="O97" s="29"/>
      <c r="P97" s="29"/>
      <c r="Q97" s="9"/>
      <c r="R97" s="74">
        <v>1</v>
      </c>
      <c r="S97" s="63">
        <v>2685</v>
      </c>
      <c r="T97" s="29">
        <v>226</v>
      </c>
      <c r="U97" s="29"/>
      <c r="V97" s="9"/>
      <c r="W97" s="74">
        <v>5</v>
      </c>
      <c r="X97" s="63">
        <f>2339.75/2</f>
        <v>1169.875</v>
      </c>
      <c r="Y97" s="29">
        <v>121</v>
      </c>
      <c r="Z97" s="29"/>
      <c r="AA97" s="9"/>
      <c r="AB97" s="74">
        <v>7</v>
      </c>
      <c r="AC97" s="63">
        <f>7208.23/5</f>
        <v>1441.646</v>
      </c>
      <c r="AD97" s="29">
        <f>2004/AB97</f>
        <v>286.2857142857143</v>
      </c>
      <c r="AE97" s="29"/>
      <c r="AF97" s="9"/>
      <c r="AG97" s="74">
        <v>7</v>
      </c>
      <c r="AH97" s="63">
        <f>15494/AG97</f>
        <v>2213.4285714285716</v>
      </c>
      <c r="AI97" s="29">
        <f>1424/AG97</f>
        <v>203.42857142857142</v>
      </c>
      <c r="AJ97" s="29"/>
      <c r="AK97" s="9"/>
    </row>
    <row r="98" spans="1:37" ht="18" customHeight="1">
      <c r="A98" s="164"/>
      <c r="B98" s="6" t="s">
        <v>17</v>
      </c>
      <c r="C98" s="17"/>
      <c r="D98" s="63"/>
      <c r="E98" s="33"/>
      <c r="F98" s="64"/>
      <c r="G98" s="64"/>
      <c r="H98" s="17"/>
      <c r="I98" s="63"/>
      <c r="J98" s="33"/>
      <c r="K98" s="12"/>
      <c r="L98" s="9"/>
      <c r="M98" s="17"/>
      <c r="N98" s="63"/>
      <c r="O98" s="29"/>
      <c r="P98" s="29"/>
      <c r="Q98" s="9"/>
      <c r="R98" s="74">
        <v>0</v>
      </c>
      <c r="S98" s="63"/>
      <c r="T98" s="29"/>
      <c r="U98" s="29"/>
      <c r="V98" s="9"/>
      <c r="W98" s="74"/>
      <c r="X98" s="63"/>
      <c r="Y98" s="29"/>
      <c r="Z98" s="29"/>
      <c r="AA98" s="9"/>
      <c r="AB98" s="74"/>
      <c r="AC98" s="63"/>
      <c r="AD98" s="29"/>
      <c r="AE98" s="29"/>
      <c r="AF98" s="9"/>
      <c r="AG98" s="74"/>
      <c r="AH98" s="63"/>
      <c r="AI98" s="29"/>
      <c r="AJ98" s="29"/>
      <c r="AK98" s="9"/>
    </row>
    <row r="99" spans="1:37" ht="18" customHeight="1">
      <c r="A99" s="164"/>
      <c r="B99" s="6" t="s">
        <v>90</v>
      </c>
      <c r="C99" s="17"/>
      <c r="D99" s="63"/>
      <c r="E99" s="33"/>
      <c r="F99" s="64"/>
      <c r="G99" s="64"/>
      <c r="H99" s="17"/>
      <c r="I99" s="63"/>
      <c r="J99" s="33"/>
      <c r="K99" s="12"/>
      <c r="L99" s="9"/>
      <c r="M99" s="17"/>
      <c r="N99" s="63"/>
      <c r="O99" s="29"/>
      <c r="P99" s="29"/>
      <c r="Q99" s="9"/>
      <c r="R99" s="74"/>
      <c r="S99" s="63"/>
      <c r="T99" s="29"/>
      <c r="U99" s="29"/>
      <c r="V99" s="9"/>
      <c r="W99" s="74">
        <v>12</v>
      </c>
      <c r="X99" s="63">
        <f>10529.52/9</f>
        <v>1169.9466666666667</v>
      </c>
      <c r="Y99" s="29">
        <v>125.166666666667</v>
      </c>
      <c r="Z99" s="29"/>
      <c r="AA99" s="9"/>
      <c r="AB99" s="74">
        <v>9</v>
      </c>
      <c r="AC99" s="63">
        <f>10285.04/7</f>
        <v>1469.2914285714287</v>
      </c>
      <c r="AD99" s="29">
        <f>1320/AB99</f>
        <v>146.66666666666666</v>
      </c>
      <c r="AE99" s="29"/>
      <c r="AF99" s="9"/>
      <c r="AG99" s="74">
        <v>5</v>
      </c>
      <c r="AH99" s="63">
        <f>8339/AG99</f>
        <v>1667.8</v>
      </c>
      <c r="AI99" s="29">
        <f>792/AG99</f>
        <v>158.4</v>
      </c>
      <c r="AJ99" s="29"/>
      <c r="AK99" s="9"/>
    </row>
    <row r="100" spans="1:37" ht="18" customHeight="1">
      <c r="A100" s="164"/>
      <c r="B100" s="6" t="s">
        <v>18</v>
      </c>
      <c r="C100" s="17"/>
      <c r="D100" s="63"/>
      <c r="E100" s="33"/>
      <c r="F100" s="64"/>
      <c r="G100" s="64"/>
      <c r="H100" s="17"/>
      <c r="I100" s="63"/>
      <c r="J100" s="33"/>
      <c r="K100" s="12"/>
      <c r="L100" s="9"/>
      <c r="M100" s="17"/>
      <c r="N100" s="63"/>
      <c r="O100" s="29"/>
      <c r="P100" s="29"/>
      <c r="Q100" s="9"/>
      <c r="R100" s="74">
        <v>3</v>
      </c>
      <c r="S100" s="63">
        <v>2316.6666666666665</v>
      </c>
      <c r="T100" s="29">
        <v>197.33333333333334</v>
      </c>
      <c r="U100" s="29"/>
      <c r="V100" s="9"/>
      <c r="W100" s="74">
        <v>10</v>
      </c>
      <c r="X100" s="63">
        <f>6812.17/8</f>
        <v>851.52125</v>
      </c>
      <c r="Y100" s="29">
        <v>116.6</v>
      </c>
      <c r="Z100" s="29"/>
      <c r="AA100" s="9"/>
      <c r="AB100" s="74">
        <v>12</v>
      </c>
      <c r="AC100" s="63">
        <f>20462.54/AB100</f>
        <v>1705.2116666666668</v>
      </c>
      <c r="AD100" s="29">
        <f>1857/AB100</f>
        <v>154.75</v>
      </c>
      <c r="AE100" s="29"/>
      <c r="AF100" s="9"/>
      <c r="AG100" s="74">
        <v>11</v>
      </c>
      <c r="AH100" s="63">
        <f>19789/AG100</f>
        <v>1799</v>
      </c>
      <c r="AI100" s="29">
        <f>1955/AG100</f>
        <v>177.72727272727272</v>
      </c>
      <c r="AJ100" s="29"/>
      <c r="AK100" s="9"/>
    </row>
    <row r="101" spans="1:37" s="60" customFormat="1" ht="18" customHeight="1">
      <c r="A101" s="164"/>
      <c r="B101" s="44"/>
      <c r="C101" s="56"/>
      <c r="D101" s="20"/>
      <c r="E101" s="55"/>
      <c r="F101" s="55"/>
      <c r="G101" s="55"/>
      <c r="H101" s="56"/>
      <c r="I101" s="20"/>
      <c r="J101" s="55"/>
      <c r="K101" s="56"/>
      <c r="L101" s="20"/>
      <c r="M101" s="56"/>
      <c r="N101" s="20"/>
      <c r="O101" s="55"/>
      <c r="P101" s="56"/>
      <c r="Q101" s="20"/>
      <c r="R101" s="56">
        <f>SUM(R91:R100)</f>
        <v>12</v>
      </c>
      <c r="S101" s="20">
        <v>2390.25</v>
      </c>
      <c r="T101" s="55">
        <v>205.41666666666666</v>
      </c>
      <c r="U101" s="56"/>
      <c r="V101" s="20"/>
      <c r="W101" s="56">
        <f>SUM(W91:W100)</f>
        <v>43</v>
      </c>
      <c r="X101" s="20">
        <f>37419.05/30</f>
        <v>1247.3016666666667</v>
      </c>
      <c r="Y101" s="55">
        <v>135.511627906977</v>
      </c>
      <c r="Z101" s="56"/>
      <c r="AA101" s="20"/>
      <c r="AB101" s="56">
        <f>SUM(AB91:AB100)</f>
        <v>43</v>
      </c>
      <c r="AC101" s="20">
        <f>59497.49/(43-5)</f>
        <v>1565.7234210526315</v>
      </c>
      <c r="AD101" s="55">
        <f>7491/AB101</f>
        <v>174.2093023255814</v>
      </c>
      <c r="AE101" s="56"/>
      <c r="AF101" s="20"/>
      <c r="AG101" s="56">
        <f>SUM(AG91:AG100)</f>
        <v>41</v>
      </c>
      <c r="AH101" s="20">
        <f>59497.49/(43-5)</f>
        <v>1565.7234210526315</v>
      </c>
      <c r="AI101" s="55">
        <f>7491/AG101</f>
        <v>182.70731707317074</v>
      </c>
      <c r="AJ101" s="56"/>
      <c r="AK101" s="20"/>
    </row>
    <row r="102" spans="1:37" ht="18" customHeight="1">
      <c r="A102" s="164" t="s">
        <v>26</v>
      </c>
      <c r="B102" s="6" t="s">
        <v>10</v>
      </c>
      <c r="C102" s="45"/>
      <c r="D102" s="45"/>
      <c r="E102" s="10"/>
      <c r="F102" s="64"/>
      <c r="G102" s="64"/>
      <c r="H102" s="17"/>
      <c r="I102" s="63"/>
      <c r="J102" s="10"/>
      <c r="K102" s="17"/>
      <c r="L102" s="63"/>
      <c r="M102" s="87"/>
      <c r="N102" s="63"/>
      <c r="O102" s="87"/>
      <c r="P102" s="17"/>
      <c r="Q102" s="63"/>
      <c r="R102" s="45">
        <v>0</v>
      </c>
      <c r="S102" s="63"/>
      <c r="T102" s="87"/>
      <c r="U102" s="17"/>
      <c r="V102" s="63"/>
      <c r="W102" s="45"/>
      <c r="X102" s="63"/>
      <c r="Y102" s="87"/>
      <c r="Z102" s="17"/>
      <c r="AA102" s="63"/>
      <c r="AB102" s="45"/>
      <c r="AC102" s="63"/>
      <c r="AD102" s="87"/>
      <c r="AE102" s="17"/>
      <c r="AF102" s="63"/>
      <c r="AG102" s="45"/>
      <c r="AH102" s="63"/>
      <c r="AI102" s="87"/>
      <c r="AJ102" s="17"/>
      <c r="AK102" s="63"/>
    </row>
    <row r="103" spans="1:37" ht="18" customHeight="1">
      <c r="A103" s="164"/>
      <c r="B103" s="6" t="s">
        <v>11</v>
      </c>
      <c r="C103" s="17">
        <v>16</v>
      </c>
      <c r="D103" s="63">
        <f>13615/C103</f>
        <v>850.9375</v>
      </c>
      <c r="E103" s="10"/>
      <c r="F103" s="64"/>
      <c r="G103" s="64"/>
      <c r="H103" s="17">
        <v>16</v>
      </c>
      <c r="I103" s="63">
        <f>15642/H103</f>
        <v>977.625</v>
      </c>
      <c r="J103" s="10"/>
      <c r="K103" s="17"/>
      <c r="L103" s="63"/>
      <c r="M103" s="17">
        <v>13</v>
      </c>
      <c r="N103" s="63">
        <v>664.9907692307692</v>
      </c>
      <c r="O103" s="107"/>
      <c r="P103" s="17"/>
      <c r="Q103" s="63"/>
      <c r="R103" s="17">
        <v>13</v>
      </c>
      <c r="S103" s="63">
        <v>924.5329670329671</v>
      </c>
      <c r="T103" s="107"/>
      <c r="U103" s="17"/>
      <c r="V103" s="63"/>
      <c r="W103" s="17">
        <v>10</v>
      </c>
      <c r="X103" s="63">
        <v>842.5</v>
      </c>
      <c r="Y103" s="107"/>
      <c r="Z103" s="17"/>
      <c r="AA103" s="63"/>
      <c r="AB103" s="17">
        <v>11</v>
      </c>
      <c r="AC103" s="63">
        <f>10302.8/AB103</f>
        <v>936.6181818181817</v>
      </c>
      <c r="AD103" s="107"/>
      <c r="AE103" s="17"/>
      <c r="AF103" s="63"/>
      <c r="AG103" s="17">
        <v>13</v>
      </c>
      <c r="AH103" s="63">
        <f>10580/AG103</f>
        <v>813.8461538461538</v>
      </c>
      <c r="AI103" s="107"/>
      <c r="AJ103" s="17"/>
      <c r="AK103" s="63"/>
    </row>
    <row r="104" spans="1:37" ht="18" customHeight="1">
      <c r="A104" s="164"/>
      <c r="B104" s="6" t="s">
        <v>12</v>
      </c>
      <c r="C104" s="17"/>
      <c r="D104" s="63"/>
      <c r="E104" s="10"/>
      <c r="F104" s="64"/>
      <c r="G104" s="64"/>
      <c r="H104" s="17"/>
      <c r="I104" s="63"/>
      <c r="J104" s="10"/>
      <c r="K104" s="17"/>
      <c r="L104" s="63"/>
      <c r="M104" s="17"/>
      <c r="N104" s="63"/>
      <c r="O104" s="107"/>
      <c r="P104" s="17"/>
      <c r="Q104" s="63"/>
      <c r="R104" s="17">
        <v>0</v>
      </c>
      <c r="S104" s="63"/>
      <c r="T104" s="107"/>
      <c r="U104" s="17"/>
      <c r="V104" s="63"/>
      <c r="W104" s="17"/>
      <c r="X104" s="63"/>
      <c r="Y104" s="107"/>
      <c r="Z104" s="17"/>
      <c r="AA104" s="63"/>
      <c r="AB104" s="17"/>
      <c r="AC104" s="63"/>
      <c r="AD104" s="107"/>
      <c r="AE104" s="17"/>
      <c r="AF104" s="63"/>
      <c r="AG104" s="17"/>
      <c r="AH104" s="63"/>
      <c r="AI104" s="107"/>
      <c r="AJ104" s="17"/>
      <c r="AK104" s="63"/>
    </row>
    <row r="105" spans="1:37" ht="18" customHeight="1">
      <c r="A105" s="164"/>
      <c r="B105" s="6" t="s">
        <v>13</v>
      </c>
      <c r="C105" s="17">
        <v>4</v>
      </c>
      <c r="D105" s="63">
        <f>4020/C105</f>
        <v>1005</v>
      </c>
      <c r="E105" s="10"/>
      <c r="F105" s="64"/>
      <c r="G105" s="64"/>
      <c r="H105" s="17">
        <v>5</v>
      </c>
      <c r="I105" s="63">
        <f>4384/H105</f>
        <v>876.8</v>
      </c>
      <c r="J105" s="10"/>
      <c r="K105" s="17"/>
      <c r="L105" s="63"/>
      <c r="M105" s="17">
        <v>6</v>
      </c>
      <c r="N105" s="63">
        <v>901.5</v>
      </c>
      <c r="O105" s="107"/>
      <c r="P105" s="17"/>
      <c r="Q105" s="63"/>
      <c r="R105" s="17">
        <v>5</v>
      </c>
      <c r="S105" s="63">
        <v>954</v>
      </c>
      <c r="T105" s="107"/>
      <c r="U105" s="17"/>
      <c r="V105" s="63"/>
      <c r="W105" s="17"/>
      <c r="X105" s="63"/>
      <c r="Y105" s="107"/>
      <c r="Z105" s="17"/>
      <c r="AA105" s="63"/>
      <c r="AB105" s="17"/>
      <c r="AC105" s="63"/>
      <c r="AD105" s="107"/>
      <c r="AE105" s="17"/>
      <c r="AF105" s="63"/>
      <c r="AG105" s="17"/>
      <c r="AH105" s="63"/>
      <c r="AI105" s="107"/>
      <c r="AJ105" s="17"/>
      <c r="AK105" s="63"/>
    </row>
    <row r="106" spans="1:37" ht="18" customHeight="1">
      <c r="A106" s="164"/>
      <c r="B106" s="6" t="s">
        <v>14</v>
      </c>
      <c r="C106" s="17"/>
      <c r="D106" s="63"/>
      <c r="E106" s="10"/>
      <c r="F106" s="64"/>
      <c r="G106" s="64"/>
      <c r="H106" s="17"/>
      <c r="I106" s="63"/>
      <c r="J106" s="10"/>
      <c r="K106" s="17"/>
      <c r="L106" s="63"/>
      <c r="M106" s="17">
        <v>1</v>
      </c>
      <c r="N106" s="63">
        <v>400</v>
      </c>
      <c r="O106" s="107"/>
      <c r="P106" s="17"/>
      <c r="Q106" s="63"/>
      <c r="R106" s="17">
        <v>2</v>
      </c>
      <c r="S106" s="63">
        <v>800</v>
      </c>
      <c r="T106" s="107"/>
      <c r="U106" s="17"/>
      <c r="V106" s="63"/>
      <c r="W106" s="17">
        <v>3</v>
      </c>
      <c r="X106" s="63">
        <v>1103.3333333333333</v>
      </c>
      <c r="Y106" s="107"/>
      <c r="Z106" s="17"/>
      <c r="AA106" s="63"/>
      <c r="AB106" s="17">
        <v>1</v>
      </c>
      <c r="AC106" s="63">
        <f>1600/AB106</f>
        <v>1600</v>
      </c>
      <c r="AD106" s="107"/>
      <c r="AE106" s="17"/>
      <c r="AF106" s="63"/>
      <c r="AG106" s="17">
        <v>2</v>
      </c>
      <c r="AH106" s="63">
        <f>750/AG106</f>
        <v>375</v>
      </c>
      <c r="AI106" s="107"/>
      <c r="AJ106" s="17"/>
      <c r="AK106" s="63"/>
    </row>
    <row r="107" spans="1:37" ht="18" customHeight="1">
      <c r="A107" s="164"/>
      <c r="B107" s="6" t="s">
        <v>15</v>
      </c>
      <c r="C107" s="17">
        <v>2</v>
      </c>
      <c r="D107" s="63">
        <f>4000/C107</f>
        <v>2000</v>
      </c>
      <c r="E107" s="10"/>
      <c r="F107" s="64"/>
      <c r="G107" s="64"/>
      <c r="H107" s="17">
        <v>2</v>
      </c>
      <c r="I107" s="63">
        <f>4000/H107</f>
        <v>2000</v>
      </c>
      <c r="J107" s="10"/>
      <c r="K107" s="17"/>
      <c r="L107" s="63"/>
      <c r="M107" s="17">
        <v>2</v>
      </c>
      <c r="N107" s="63">
        <v>1710</v>
      </c>
      <c r="O107" s="106"/>
      <c r="P107" s="17"/>
      <c r="Q107" s="63"/>
      <c r="R107" s="17">
        <v>2</v>
      </c>
      <c r="S107" s="63">
        <v>850</v>
      </c>
      <c r="T107" s="106"/>
      <c r="U107" s="17"/>
      <c r="V107" s="63"/>
      <c r="W107" s="17"/>
      <c r="X107" s="63"/>
      <c r="Y107" s="106"/>
      <c r="Z107" s="17"/>
      <c r="AA107" s="63"/>
      <c r="AB107" s="17"/>
      <c r="AC107" s="63"/>
      <c r="AD107" s="106"/>
      <c r="AE107" s="17"/>
      <c r="AF107" s="63"/>
      <c r="AG107" s="17"/>
      <c r="AH107" s="63"/>
      <c r="AI107" s="106"/>
      <c r="AJ107" s="17"/>
      <c r="AK107" s="63"/>
    </row>
    <row r="108" spans="1:37" ht="18" customHeight="1">
      <c r="A108" s="164"/>
      <c r="B108" s="6" t="s">
        <v>16</v>
      </c>
      <c r="C108" s="17">
        <v>5</v>
      </c>
      <c r="D108" s="63">
        <f>6580/C108</f>
        <v>1316</v>
      </c>
      <c r="E108" s="10"/>
      <c r="F108" s="64"/>
      <c r="G108" s="64"/>
      <c r="H108" s="17">
        <v>7</v>
      </c>
      <c r="I108" s="63">
        <f>7685/H108</f>
        <v>1097.857142857143</v>
      </c>
      <c r="J108" s="10"/>
      <c r="K108" s="17"/>
      <c r="L108" s="63"/>
      <c r="M108" s="17">
        <v>7</v>
      </c>
      <c r="N108" s="63">
        <v>750.7142857142857</v>
      </c>
      <c r="O108" s="107"/>
      <c r="P108" s="17"/>
      <c r="Q108" s="63"/>
      <c r="R108" s="17">
        <v>5</v>
      </c>
      <c r="S108" s="63">
        <v>944</v>
      </c>
      <c r="T108" s="107"/>
      <c r="U108" s="17"/>
      <c r="V108" s="63"/>
      <c r="W108" s="17">
        <v>6</v>
      </c>
      <c r="X108" s="63">
        <v>733.3333333333334</v>
      </c>
      <c r="Y108" s="107"/>
      <c r="Z108" s="17"/>
      <c r="AA108" s="63"/>
      <c r="AB108" s="17">
        <v>4</v>
      </c>
      <c r="AC108" s="63">
        <f>3639/AB108</f>
        <v>909.75</v>
      </c>
      <c r="AD108" s="107"/>
      <c r="AE108" s="17"/>
      <c r="AF108" s="63"/>
      <c r="AG108" s="17">
        <v>5</v>
      </c>
      <c r="AH108" s="63">
        <f>2800/AG108</f>
        <v>560</v>
      </c>
      <c r="AI108" s="107"/>
      <c r="AJ108" s="17"/>
      <c r="AK108" s="63"/>
    </row>
    <row r="109" spans="1:37" ht="18" customHeight="1">
      <c r="A109" s="164"/>
      <c r="B109" s="6" t="s">
        <v>17</v>
      </c>
      <c r="C109" s="17"/>
      <c r="D109" s="63"/>
      <c r="E109" s="10"/>
      <c r="F109" s="64"/>
      <c r="G109" s="64"/>
      <c r="H109" s="17"/>
      <c r="I109" s="63"/>
      <c r="J109" s="10"/>
      <c r="K109" s="17"/>
      <c r="L109" s="63"/>
      <c r="M109" s="17"/>
      <c r="N109" s="63"/>
      <c r="O109" s="107"/>
      <c r="P109" s="17"/>
      <c r="Q109" s="63"/>
      <c r="R109" s="17">
        <v>0</v>
      </c>
      <c r="S109" s="63"/>
      <c r="T109" s="107"/>
      <c r="U109" s="17"/>
      <c r="V109" s="63"/>
      <c r="W109" s="17"/>
      <c r="X109" s="63"/>
      <c r="Y109" s="107"/>
      <c r="Z109" s="17"/>
      <c r="AA109" s="63"/>
      <c r="AB109" s="17"/>
      <c r="AC109" s="63"/>
      <c r="AD109" s="107"/>
      <c r="AE109" s="17"/>
      <c r="AF109" s="63"/>
      <c r="AG109" s="17"/>
      <c r="AH109" s="63"/>
      <c r="AI109" s="107"/>
      <c r="AJ109" s="17"/>
      <c r="AK109" s="63"/>
    </row>
    <row r="110" spans="1:37" ht="18" customHeight="1">
      <c r="A110" s="164"/>
      <c r="B110" s="6" t="s">
        <v>90</v>
      </c>
      <c r="C110" s="17"/>
      <c r="D110" s="63"/>
      <c r="E110" s="10"/>
      <c r="F110" s="64"/>
      <c r="G110" s="64"/>
      <c r="H110" s="17"/>
      <c r="I110" s="63"/>
      <c r="J110" s="10"/>
      <c r="K110" s="17"/>
      <c r="L110" s="63"/>
      <c r="M110" s="17"/>
      <c r="N110" s="63"/>
      <c r="O110" s="107"/>
      <c r="P110" s="17"/>
      <c r="Q110" s="63"/>
      <c r="R110" s="17"/>
      <c r="S110" s="63"/>
      <c r="T110" s="107"/>
      <c r="U110" s="17"/>
      <c r="V110" s="63"/>
      <c r="W110" s="17">
        <v>6</v>
      </c>
      <c r="X110" s="63">
        <v>661.6666666666666</v>
      </c>
      <c r="Y110" s="107"/>
      <c r="Z110" s="17"/>
      <c r="AA110" s="63"/>
      <c r="AB110" s="17">
        <v>1</v>
      </c>
      <c r="AC110" s="63">
        <f>500/AB110</f>
        <v>500</v>
      </c>
      <c r="AD110" s="107"/>
      <c r="AE110" s="17"/>
      <c r="AF110" s="63"/>
      <c r="AG110" s="17">
        <v>3</v>
      </c>
      <c r="AH110" s="63">
        <f>2625/AG110</f>
        <v>875</v>
      </c>
      <c r="AI110" s="107"/>
      <c r="AJ110" s="17"/>
      <c r="AK110" s="63"/>
    </row>
    <row r="111" spans="1:37" ht="18" customHeight="1">
      <c r="A111" s="164"/>
      <c r="B111" s="6" t="s">
        <v>18</v>
      </c>
      <c r="C111" s="17">
        <v>6</v>
      </c>
      <c r="D111" s="63">
        <f>3535/C111</f>
        <v>589.1666666666666</v>
      </c>
      <c r="E111" s="10"/>
      <c r="F111" s="64"/>
      <c r="G111" s="64"/>
      <c r="H111" s="17">
        <v>9</v>
      </c>
      <c r="I111" s="63">
        <f>6470/H111</f>
        <v>718.8888888888889</v>
      </c>
      <c r="J111" s="10"/>
      <c r="K111" s="17"/>
      <c r="L111" s="63"/>
      <c r="M111" s="17">
        <v>7</v>
      </c>
      <c r="N111" s="63">
        <v>755.7142857142857</v>
      </c>
      <c r="O111" s="107"/>
      <c r="P111" s="17"/>
      <c r="Q111" s="63"/>
      <c r="R111" s="17">
        <v>6</v>
      </c>
      <c r="S111" s="63">
        <v>809.1666666666666</v>
      </c>
      <c r="T111" s="107"/>
      <c r="U111" s="17"/>
      <c r="V111" s="63"/>
      <c r="W111" s="17">
        <v>3</v>
      </c>
      <c r="X111" s="63">
        <v>786.6666666666666</v>
      </c>
      <c r="Y111" s="107"/>
      <c r="Z111" s="17"/>
      <c r="AA111" s="63"/>
      <c r="AB111" s="17">
        <v>2</v>
      </c>
      <c r="AC111" s="63">
        <f>2210/AB111</f>
        <v>1105</v>
      </c>
      <c r="AD111" s="107"/>
      <c r="AE111" s="17"/>
      <c r="AF111" s="63"/>
      <c r="AG111" s="17">
        <v>4</v>
      </c>
      <c r="AH111" s="63">
        <f>4240/AG111</f>
        <v>1060</v>
      </c>
      <c r="AI111" s="107"/>
      <c r="AJ111" s="17"/>
      <c r="AK111" s="63"/>
    </row>
    <row r="112" spans="1:37" s="60" customFormat="1" ht="18" customHeight="1">
      <c r="A112" s="164"/>
      <c r="B112" s="44" t="s">
        <v>19</v>
      </c>
      <c r="C112" s="56">
        <f>SUM(C102:C111)</f>
        <v>33</v>
      </c>
      <c r="D112" s="20">
        <f>31750/C112</f>
        <v>962.1212121212121</v>
      </c>
      <c r="E112" s="55"/>
      <c r="F112" s="55"/>
      <c r="G112" s="55"/>
      <c r="H112" s="56">
        <f>SUM(H102:H111)</f>
        <v>39</v>
      </c>
      <c r="I112" s="20">
        <f>38181/H112</f>
        <v>979</v>
      </c>
      <c r="J112" s="55"/>
      <c r="K112" s="56"/>
      <c r="L112" s="20"/>
      <c r="M112" s="56">
        <f>SUM(M102:M111)</f>
        <v>36</v>
      </c>
      <c r="N112" s="20">
        <f>28418.88/M112</f>
        <v>789.4133333333334</v>
      </c>
      <c r="O112" s="55"/>
      <c r="P112" s="56"/>
      <c r="Q112" s="20"/>
      <c r="R112" s="56">
        <f>SUM(R102:R111)</f>
        <v>33</v>
      </c>
      <c r="S112" s="20">
        <v>898.9069264069265</v>
      </c>
      <c r="T112" s="55"/>
      <c r="U112" s="56"/>
      <c r="V112" s="20"/>
      <c r="W112" s="56">
        <f>SUM(W102:W111)</f>
        <v>28</v>
      </c>
      <c r="X112" s="20">
        <v>802.3214285714286</v>
      </c>
      <c r="Y112" s="55"/>
      <c r="Z112" s="56"/>
      <c r="AA112" s="20"/>
      <c r="AB112" s="56">
        <f>SUM(AB102:AB111)</f>
        <v>19</v>
      </c>
      <c r="AC112" s="20">
        <f>18251.8/AB112</f>
        <v>960.6210526315789</v>
      </c>
      <c r="AD112" s="55"/>
      <c r="AE112" s="56"/>
      <c r="AF112" s="20"/>
      <c r="AG112" s="56">
        <f>SUM(AG102:AG111)</f>
        <v>27</v>
      </c>
      <c r="AH112" s="20">
        <f>18251.8/AG112</f>
        <v>675.9925925925926</v>
      </c>
      <c r="AI112" s="55"/>
      <c r="AJ112" s="56"/>
      <c r="AK112" s="20"/>
    </row>
    <row r="113" spans="1:37" ht="18" customHeight="1">
      <c r="A113" s="164" t="s">
        <v>56</v>
      </c>
      <c r="B113" s="6" t="s">
        <v>10</v>
      </c>
      <c r="C113" s="17"/>
      <c r="D113" s="63"/>
      <c r="E113" s="10"/>
      <c r="F113" s="64"/>
      <c r="G113" s="64"/>
      <c r="H113" s="17"/>
      <c r="I113" s="45"/>
      <c r="J113" s="10"/>
      <c r="K113" s="17"/>
      <c r="L113" s="9"/>
      <c r="M113" s="17"/>
      <c r="N113" s="45"/>
      <c r="O113" s="10"/>
      <c r="P113" s="17"/>
      <c r="Q113" s="9"/>
      <c r="R113" s="17">
        <v>1</v>
      </c>
      <c r="S113" s="45">
        <v>841.72</v>
      </c>
      <c r="T113" s="10"/>
      <c r="U113" s="17"/>
      <c r="V113" s="9"/>
      <c r="W113" s="17"/>
      <c r="X113" s="45"/>
      <c r="Y113" s="10"/>
      <c r="Z113" s="17"/>
      <c r="AA113" s="9"/>
      <c r="AB113" s="17"/>
      <c r="AC113" s="45"/>
      <c r="AD113" s="10"/>
      <c r="AE113" s="17"/>
      <c r="AF113" s="9"/>
      <c r="AG113" s="17"/>
      <c r="AH113" s="45"/>
      <c r="AI113" s="10"/>
      <c r="AJ113" s="17"/>
      <c r="AK113" s="9"/>
    </row>
    <row r="114" spans="1:37" ht="18" customHeight="1">
      <c r="A114" s="164"/>
      <c r="B114" s="6" t="s">
        <v>11</v>
      </c>
      <c r="C114" s="17">
        <v>7</v>
      </c>
      <c r="D114" s="63">
        <f>10661.27/C114</f>
        <v>1523.0385714285715</v>
      </c>
      <c r="E114" s="10"/>
      <c r="F114" s="64"/>
      <c r="G114" s="64"/>
      <c r="H114" s="17">
        <v>3</v>
      </c>
      <c r="I114" s="63">
        <f>7245.49/H114</f>
        <v>2415.1633333333334</v>
      </c>
      <c r="J114" s="10"/>
      <c r="K114" s="17"/>
      <c r="L114" s="9"/>
      <c r="M114" s="17">
        <v>5</v>
      </c>
      <c r="N114" s="63">
        <v>513.99</v>
      </c>
      <c r="O114" s="108"/>
      <c r="P114" s="17"/>
      <c r="Q114" s="9"/>
      <c r="R114" s="17">
        <v>5</v>
      </c>
      <c r="S114" s="63">
        <v>1381.25</v>
      </c>
      <c r="T114" s="108"/>
      <c r="U114" s="17"/>
      <c r="V114" s="9"/>
      <c r="W114" s="17">
        <v>3</v>
      </c>
      <c r="X114" s="63">
        <v>928.2133333333333</v>
      </c>
      <c r="Y114" s="108"/>
      <c r="Z114" s="17"/>
      <c r="AA114" s="9"/>
      <c r="AB114" s="17">
        <v>2</v>
      </c>
      <c r="AC114" s="63">
        <f>827.14/AB114</f>
        <v>413.57</v>
      </c>
      <c r="AD114" s="108"/>
      <c r="AE114" s="17"/>
      <c r="AF114" s="9"/>
      <c r="AG114" s="17">
        <v>1</v>
      </c>
      <c r="AH114" s="63">
        <f>3408.28/AG114</f>
        <v>3408.28</v>
      </c>
      <c r="AI114" s="108"/>
      <c r="AJ114" s="17"/>
      <c r="AK114" s="9"/>
    </row>
    <row r="115" spans="1:37" ht="18" customHeight="1">
      <c r="A115" s="164"/>
      <c r="B115" s="6" t="s">
        <v>12</v>
      </c>
      <c r="C115" s="17"/>
      <c r="D115" s="63"/>
      <c r="E115" s="10"/>
      <c r="F115" s="64"/>
      <c r="G115" s="64"/>
      <c r="H115" s="17">
        <v>2</v>
      </c>
      <c r="I115" s="63">
        <f>844.19/H115</f>
        <v>422.095</v>
      </c>
      <c r="J115" s="10"/>
      <c r="K115" s="17"/>
      <c r="L115" s="9"/>
      <c r="M115" s="17">
        <v>1</v>
      </c>
      <c r="N115" s="63">
        <v>144.56</v>
      </c>
      <c r="O115" s="108"/>
      <c r="P115" s="17"/>
      <c r="Q115" s="9"/>
      <c r="R115" s="17">
        <v>0</v>
      </c>
      <c r="S115" s="63"/>
      <c r="T115" s="108"/>
      <c r="U115" s="17"/>
      <c r="V115" s="9"/>
      <c r="W115" s="17"/>
      <c r="X115" s="87"/>
      <c r="Y115" s="108"/>
      <c r="Z115" s="17"/>
      <c r="AA115" s="9"/>
      <c r="AB115" s="17"/>
      <c r="AC115" s="87"/>
      <c r="AD115" s="108"/>
      <c r="AE115" s="17"/>
      <c r="AF115" s="9"/>
      <c r="AG115" s="17"/>
      <c r="AH115" s="87"/>
      <c r="AI115" s="108"/>
      <c r="AJ115" s="17"/>
      <c r="AK115" s="9"/>
    </row>
    <row r="116" spans="1:37" ht="18" customHeight="1">
      <c r="A116" s="164"/>
      <c r="B116" s="6" t="s">
        <v>13</v>
      </c>
      <c r="C116" s="17"/>
      <c r="D116" s="63"/>
      <c r="E116" s="10"/>
      <c r="F116" s="64"/>
      <c r="G116" s="64"/>
      <c r="H116" s="17">
        <v>1</v>
      </c>
      <c r="I116" s="63">
        <f>144.56/H116</f>
        <v>144.56</v>
      </c>
      <c r="J116" s="10"/>
      <c r="K116" s="17"/>
      <c r="L116" s="9"/>
      <c r="M116" s="17">
        <v>1</v>
      </c>
      <c r="N116" s="63">
        <v>1290</v>
      </c>
      <c r="O116" s="109"/>
      <c r="P116" s="17"/>
      <c r="Q116" s="9"/>
      <c r="R116" s="17">
        <v>0</v>
      </c>
      <c r="S116" s="63"/>
      <c r="T116" s="109"/>
      <c r="U116" s="17"/>
      <c r="V116" s="9"/>
      <c r="W116" s="17"/>
      <c r="X116" s="87"/>
      <c r="Y116" s="109"/>
      <c r="Z116" s="17"/>
      <c r="AA116" s="9"/>
      <c r="AB116" s="17"/>
      <c r="AC116" s="87"/>
      <c r="AD116" s="109"/>
      <c r="AE116" s="17"/>
      <c r="AF116" s="9"/>
      <c r="AG116" s="17"/>
      <c r="AH116" s="87"/>
      <c r="AI116" s="109"/>
      <c r="AJ116" s="17"/>
      <c r="AK116" s="9"/>
    </row>
    <row r="117" spans="1:37" ht="18" customHeight="1">
      <c r="A117" s="164"/>
      <c r="B117" s="6" t="s">
        <v>14</v>
      </c>
      <c r="C117" s="17">
        <v>1</v>
      </c>
      <c r="D117" s="63">
        <v>2503.08</v>
      </c>
      <c r="E117" s="10"/>
      <c r="F117" s="64"/>
      <c r="G117" s="64"/>
      <c r="H117" s="17"/>
      <c r="I117" s="63"/>
      <c r="J117" s="10"/>
      <c r="K117" s="17"/>
      <c r="L117" s="9"/>
      <c r="M117" s="17">
        <v>1</v>
      </c>
      <c r="N117" s="63">
        <v>342.16</v>
      </c>
      <c r="O117" s="108"/>
      <c r="P117" s="17"/>
      <c r="Q117" s="9"/>
      <c r="R117" s="17">
        <v>1</v>
      </c>
      <c r="S117" s="63">
        <v>505.12</v>
      </c>
      <c r="T117" s="108"/>
      <c r="U117" s="17"/>
      <c r="V117" s="9"/>
      <c r="W117" s="17"/>
      <c r="X117" s="87"/>
      <c r="Y117" s="108"/>
      <c r="Z117" s="17"/>
      <c r="AA117" s="9"/>
      <c r="AB117" s="17">
        <v>0</v>
      </c>
      <c r="AC117" s="87"/>
      <c r="AD117" s="108"/>
      <c r="AE117" s="17"/>
      <c r="AF117" s="9"/>
      <c r="AG117" s="17"/>
      <c r="AH117" s="87"/>
      <c r="AI117" s="108"/>
      <c r="AJ117" s="17"/>
      <c r="AK117" s="9"/>
    </row>
    <row r="118" spans="1:37" ht="18" customHeight="1">
      <c r="A118" s="164"/>
      <c r="B118" s="6" t="s">
        <v>15</v>
      </c>
      <c r="C118" s="17"/>
      <c r="D118" s="45"/>
      <c r="E118" s="10"/>
      <c r="F118" s="64"/>
      <c r="G118" s="64"/>
      <c r="H118" s="17">
        <v>1</v>
      </c>
      <c r="I118" s="63">
        <f>1651.5/H118</f>
        <v>1651.5</v>
      </c>
      <c r="J118" s="10"/>
      <c r="K118" s="17"/>
      <c r="L118" s="9"/>
      <c r="M118" s="17">
        <v>2</v>
      </c>
      <c r="N118" s="63">
        <v>471.305</v>
      </c>
      <c r="O118" s="106"/>
      <c r="P118" s="17"/>
      <c r="Q118" s="9"/>
      <c r="R118" s="17">
        <v>0</v>
      </c>
      <c r="S118" s="63"/>
      <c r="T118" s="106"/>
      <c r="U118" s="17"/>
      <c r="V118" s="9"/>
      <c r="W118" s="17"/>
      <c r="X118" s="63"/>
      <c r="Y118" s="106"/>
      <c r="Z118" s="17"/>
      <c r="AA118" s="9"/>
      <c r="AB118" s="17"/>
      <c r="AC118" s="63"/>
      <c r="AD118" s="106"/>
      <c r="AE118" s="17"/>
      <c r="AF118" s="9"/>
      <c r="AG118" s="17"/>
      <c r="AH118" s="63"/>
      <c r="AI118" s="106"/>
      <c r="AJ118" s="17"/>
      <c r="AK118" s="9"/>
    </row>
    <row r="119" spans="1:37" ht="18" customHeight="1">
      <c r="A119" s="164"/>
      <c r="B119" s="6" t="s">
        <v>16</v>
      </c>
      <c r="C119" s="17">
        <v>2</v>
      </c>
      <c r="D119" s="63">
        <f>1804.6/C119</f>
        <v>902.3</v>
      </c>
      <c r="E119" s="10"/>
      <c r="F119" s="64"/>
      <c r="G119" s="64"/>
      <c r="H119" s="17">
        <v>3</v>
      </c>
      <c r="I119" s="63">
        <f>5065.64/3</f>
        <v>1688.5466666666669</v>
      </c>
      <c r="J119" s="10"/>
      <c r="K119" s="17"/>
      <c r="L119" s="9"/>
      <c r="M119" s="17">
        <v>2</v>
      </c>
      <c r="N119" s="63">
        <v>559.935</v>
      </c>
      <c r="O119" s="108"/>
      <c r="P119" s="17"/>
      <c r="Q119" s="9"/>
      <c r="R119" s="17">
        <v>2</v>
      </c>
      <c r="S119" s="63">
        <v>2242.79</v>
      </c>
      <c r="T119" s="108"/>
      <c r="U119" s="17"/>
      <c r="V119" s="9"/>
      <c r="W119" s="17">
        <v>2</v>
      </c>
      <c r="X119" s="63">
        <v>1302.25</v>
      </c>
      <c r="Y119" s="108"/>
      <c r="Z119" s="17"/>
      <c r="AA119" s="9"/>
      <c r="AB119" s="17">
        <v>2</v>
      </c>
      <c r="AC119" s="63">
        <f>398.04/AB119</f>
        <v>199.02</v>
      </c>
      <c r="AD119" s="108"/>
      <c r="AE119" s="17"/>
      <c r="AF119" s="9"/>
      <c r="AG119" s="17"/>
      <c r="AH119" s="63"/>
      <c r="AI119" s="108"/>
      <c r="AJ119" s="17"/>
      <c r="AK119" s="9"/>
    </row>
    <row r="120" spans="1:37" ht="18" customHeight="1">
      <c r="A120" s="164"/>
      <c r="B120" s="6" t="s">
        <v>17</v>
      </c>
      <c r="C120" s="17"/>
      <c r="D120" s="63"/>
      <c r="E120" s="10"/>
      <c r="F120" s="64"/>
      <c r="G120" s="64"/>
      <c r="H120" s="17">
        <v>1</v>
      </c>
      <c r="I120" s="63">
        <f>744.54/H120</f>
        <v>744.54</v>
      </c>
      <c r="J120" s="10"/>
      <c r="K120" s="17"/>
      <c r="L120" s="9"/>
      <c r="M120" s="17"/>
      <c r="N120" s="63"/>
      <c r="O120" s="87"/>
      <c r="P120" s="17"/>
      <c r="Q120" s="9"/>
      <c r="R120" s="17">
        <v>0</v>
      </c>
      <c r="S120" s="63"/>
      <c r="T120" s="87"/>
      <c r="U120" s="17"/>
      <c r="V120" s="9"/>
      <c r="W120" s="17"/>
      <c r="X120" s="87"/>
      <c r="Y120" s="87"/>
      <c r="Z120" s="17"/>
      <c r="AA120" s="9"/>
      <c r="AB120" s="17"/>
      <c r="AC120" s="87"/>
      <c r="AD120" s="87"/>
      <c r="AE120" s="17"/>
      <c r="AF120" s="9"/>
      <c r="AG120" s="17"/>
      <c r="AH120" s="87"/>
      <c r="AI120" s="87"/>
      <c r="AJ120" s="17"/>
      <c r="AK120" s="9"/>
    </row>
    <row r="121" spans="1:37" ht="18" customHeight="1">
      <c r="A121" s="164"/>
      <c r="B121" s="6" t="s">
        <v>90</v>
      </c>
      <c r="C121" s="17"/>
      <c r="D121" s="63"/>
      <c r="E121" s="10"/>
      <c r="F121" s="64"/>
      <c r="G121" s="64"/>
      <c r="H121" s="17"/>
      <c r="I121" s="63"/>
      <c r="J121" s="10"/>
      <c r="K121" s="17"/>
      <c r="L121" s="9"/>
      <c r="M121" s="17"/>
      <c r="N121" s="63"/>
      <c r="O121" s="87"/>
      <c r="P121" s="17"/>
      <c r="Q121" s="9"/>
      <c r="R121" s="17"/>
      <c r="S121" s="63"/>
      <c r="T121" s="87"/>
      <c r="U121" s="17"/>
      <c r="V121" s="9"/>
      <c r="W121" s="17">
        <v>3</v>
      </c>
      <c r="X121" s="63">
        <v>850.29</v>
      </c>
      <c r="Y121" s="107"/>
      <c r="Z121" s="17"/>
      <c r="AA121" s="63"/>
      <c r="AB121" s="17">
        <v>1</v>
      </c>
      <c r="AC121" s="63">
        <f>255.74/AB121</f>
        <v>255.74</v>
      </c>
      <c r="AD121" s="107"/>
      <c r="AE121" s="17"/>
      <c r="AF121" s="63"/>
      <c r="AG121" s="17">
        <v>1</v>
      </c>
      <c r="AH121" s="63">
        <v>182</v>
      </c>
      <c r="AI121" s="107"/>
      <c r="AJ121" s="17"/>
      <c r="AK121" s="63"/>
    </row>
    <row r="122" spans="1:37" ht="18" customHeight="1">
      <c r="A122" s="164"/>
      <c r="B122" s="6" t="s">
        <v>18</v>
      </c>
      <c r="C122" s="17">
        <v>3</v>
      </c>
      <c r="D122" s="63">
        <f>1205/C122</f>
        <v>401.6666666666667</v>
      </c>
      <c r="E122" s="10"/>
      <c r="F122" s="64"/>
      <c r="G122" s="64"/>
      <c r="H122" s="17">
        <v>2</v>
      </c>
      <c r="I122" s="63">
        <f>1835.84/H122</f>
        <v>917.92</v>
      </c>
      <c r="J122" s="10"/>
      <c r="K122" s="17"/>
      <c r="L122" s="9"/>
      <c r="M122" s="17">
        <v>5</v>
      </c>
      <c r="N122" s="63">
        <v>884.1379999999999</v>
      </c>
      <c r="O122" s="108"/>
      <c r="P122" s="17"/>
      <c r="Q122" s="9"/>
      <c r="R122" s="17">
        <v>0</v>
      </c>
      <c r="S122" s="63"/>
      <c r="T122" s="108"/>
      <c r="U122" s="17"/>
      <c r="V122" s="9"/>
      <c r="W122" s="17">
        <v>2</v>
      </c>
      <c r="X122" s="63">
        <v>960.96</v>
      </c>
      <c r="Y122" s="108"/>
      <c r="Z122" s="17"/>
      <c r="AA122" s="9"/>
      <c r="AB122" s="17">
        <v>2</v>
      </c>
      <c r="AC122" s="63">
        <f>983.67/AB122</f>
        <v>491.835</v>
      </c>
      <c r="AD122" s="108"/>
      <c r="AE122" s="17"/>
      <c r="AF122" s="9"/>
      <c r="AG122" s="17">
        <v>3</v>
      </c>
      <c r="AH122" s="63">
        <f>1965.5/AG122</f>
        <v>655.1666666666666</v>
      </c>
      <c r="AI122" s="108"/>
      <c r="AJ122" s="17"/>
      <c r="AK122" s="9"/>
    </row>
    <row r="123" spans="1:37" s="60" customFormat="1" ht="18" customHeight="1">
      <c r="A123" s="164"/>
      <c r="B123" s="44" t="s">
        <v>19</v>
      </c>
      <c r="C123" s="56">
        <f>SUM(C113:C122)</f>
        <v>13</v>
      </c>
      <c r="D123" s="20">
        <f>16173.94/C123</f>
        <v>1244.1492307692308</v>
      </c>
      <c r="E123" s="55"/>
      <c r="F123" s="55"/>
      <c r="G123" s="55"/>
      <c r="H123" s="56">
        <f>SUM(H113:H122)</f>
        <v>13</v>
      </c>
      <c r="I123" s="20">
        <f>17387.2/H123</f>
        <v>1337.4769230769232</v>
      </c>
      <c r="J123" s="55"/>
      <c r="K123" s="56"/>
      <c r="L123" s="20"/>
      <c r="M123" s="56">
        <f>SUM(M113:M122)</f>
        <v>17</v>
      </c>
      <c r="N123" s="20">
        <f>10829.84/M123</f>
        <v>637.0494117647058</v>
      </c>
      <c r="O123" s="55"/>
      <c r="P123" s="56"/>
      <c r="Q123" s="20"/>
      <c r="R123" s="56">
        <f>SUM(R113:R122)</f>
        <v>9</v>
      </c>
      <c r="S123" s="20">
        <v>1415.4077777777777</v>
      </c>
      <c r="T123" s="55"/>
      <c r="U123" s="56"/>
      <c r="V123" s="20"/>
      <c r="W123" s="56">
        <f>SUM(W113:W122)</f>
        <v>10</v>
      </c>
      <c r="X123" s="20">
        <v>986.193</v>
      </c>
      <c r="Y123" s="55"/>
      <c r="Z123" s="56"/>
      <c r="AA123" s="20"/>
      <c r="AB123" s="56">
        <f>SUM(AB113:AB122)</f>
        <v>7</v>
      </c>
      <c r="AC123" s="20">
        <f>2464.59/AB123</f>
        <v>352.0842857142857</v>
      </c>
      <c r="AD123" s="55"/>
      <c r="AE123" s="56"/>
      <c r="AF123" s="20"/>
      <c r="AG123" s="56">
        <f>SUM(AG113:AG122)</f>
        <v>5</v>
      </c>
      <c r="AH123" s="20">
        <f>2464.59/AG123</f>
        <v>492.918</v>
      </c>
      <c r="AI123" s="55"/>
      <c r="AJ123" s="56"/>
      <c r="AK123" s="20"/>
    </row>
    <row r="124" spans="1:37" ht="18" customHeight="1">
      <c r="A124" s="164" t="s">
        <v>91</v>
      </c>
      <c r="B124" s="6" t="s">
        <v>10</v>
      </c>
      <c r="C124" s="17"/>
      <c r="D124" s="63"/>
      <c r="E124" s="10"/>
      <c r="F124" s="64"/>
      <c r="G124" s="64"/>
      <c r="H124" s="17"/>
      <c r="I124" s="63"/>
      <c r="J124" s="10"/>
      <c r="K124" s="17"/>
      <c r="L124" s="9"/>
      <c r="M124" s="17"/>
      <c r="N124" s="63"/>
      <c r="O124" s="10"/>
      <c r="P124" s="17"/>
      <c r="Q124" s="9"/>
      <c r="R124" s="17"/>
      <c r="S124" s="63"/>
      <c r="T124" s="10"/>
      <c r="U124" s="17"/>
      <c r="V124" s="9"/>
      <c r="W124" s="17"/>
      <c r="X124" s="63"/>
      <c r="Y124" s="10"/>
      <c r="Z124" s="17"/>
      <c r="AA124" s="9"/>
      <c r="AB124" s="17"/>
      <c r="AC124" s="63"/>
      <c r="AD124" s="10"/>
      <c r="AE124" s="17"/>
      <c r="AF124" s="9"/>
      <c r="AG124" s="17"/>
      <c r="AH124" s="63"/>
      <c r="AI124" s="10"/>
      <c r="AJ124" s="17"/>
      <c r="AK124" s="9"/>
    </row>
    <row r="125" spans="1:37" ht="18" customHeight="1">
      <c r="A125" s="164"/>
      <c r="B125" s="6" t="s">
        <v>11</v>
      </c>
      <c r="C125" s="17">
        <v>4</v>
      </c>
      <c r="D125" s="63">
        <f>10937.1/C125</f>
        <v>2734.275</v>
      </c>
      <c r="E125" s="10"/>
      <c r="F125" s="64"/>
      <c r="G125" s="64"/>
      <c r="H125" s="17">
        <v>3</v>
      </c>
      <c r="I125" s="63">
        <f>6672.54/H125</f>
        <v>2224.18</v>
      </c>
      <c r="J125" s="10"/>
      <c r="K125" s="17"/>
      <c r="L125" s="9"/>
      <c r="M125" s="17">
        <v>1</v>
      </c>
      <c r="N125" s="63">
        <v>3945.19</v>
      </c>
      <c r="O125" s="109"/>
      <c r="P125" s="17"/>
      <c r="Q125" s="9"/>
      <c r="R125" s="17">
        <v>3</v>
      </c>
      <c r="S125" s="63">
        <v>303</v>
      </c>
      <c r="T125" s="109"/>
      <c r="U125" s="17"/>
      <c r="V125" s="9"/>
      <c r="W125" s="17">
        <v>4</v>
      </c>
      <c r="X125" s="63">
        <v>643</v>
      </c>
      <c r="Y125" s="109"/>
      <c r="Z125" s="17"/>
      <c r="AA125" s="9"/>
      <c r="AB125" s="17">
        <v>8</v>
      </c>
      <c r="AC125" s="63">
        <f>4220.87/AB125</f>
        <v>527.60875</v>
      </c>
      <c r="AD125" s="109"/>
      <c r="AE125" s="17"/>
      <c r="AF125" s="9"/>
      <c r="AG125" s="17">
        <v>6</v>
      </c>
      <c r="AH125" s="63">
        <f>2992/AG125</f>
        <v>498.6666666666667</v>
      </c>
      <c r="AI125" s="109"/>
      <c r="AJ125" s="17"/>
      <c r="AK125" s="9"/>
    </row>
    <row r="126" spans="1:37" ht="18" customHeight="1">
      <c r="A126" s="164"/>
      <c r="B126" s="6" t="s">
        <v>12</v>
      </c>
      <c r="C126" s="17"/>
      <c r="D126" s="63"/>
      <c r="E126" s="10"/>
      <c r="F126" s="64"/>
      <c r="G126" s="64"/>
      <c r="H126" s="17"/>
      <c r="I126" s="45"/>
      <c r="J126" s="10"/>
      <c r="K126" s="17"/>
      <c r="L126" s="9"/>
      <c r="M126" s="17"/>
      <c r="N126" s="45"/>
      <c r="O126" s="87"/>
      <c r="P126" s="17"/>
      <c r="Q126" s="9"/>
      <c r="R126" s="17"/>
      <c r="S126" s="45"/>
      <c r="T126" s="87"/>
      <c r="U126" s="17"/>
      <c r="V126" s="9"/>
      <c r="W126" s="17"/>
      <c r="X126" s="87"/>
      <c r="Y126" s="87"/>
      <c r="Z126" s="17"/>
      <c r="AA126" s="9"/>
      <c r="AB126" s="17"/>
      <c r="AC126" s="87"/>
      <c r="AD126" s="87"/>
      <c r="AE126" s="17"/>
      <c r="AF126" s="9"/>
      <c r="AG126" s="17"/>
      <c r="AH126" s="87"/>
      <c r="AI126" s="87"/>
      <c r="AJ126" s="17"/>
      <c r="AK126" s="9"/>
    </row>
    <row r="127" spans="1:37" ht="18" customHeight="1">
      <c r="A127" s="164"/>
      <c r="B127" s="6" t="s">
        <v>13</v>
      </c>
      <c r="C127" s="17"/>
      <c r="D127" s="63"/>
      <c r="E127" s="10"/>
      <c r="F127" s="64"/>
      <c r="G127" s="64"/>
      <c r="H127" s="17">
        <v>2</v>
      </c>
      <c r="I127" s="63">
        <f>443/2</f>
        <v>221.5</v>
      </c>
      <c r="J127" s="10"/>
      <c r="K127" s="17"/>
      <c r="L127" s="9"/>
      <c r="M127" s="17">
        <v>1</v>
      </c>
      <c r="N127" s="63">
        <v>314</v>
      </c>
      <c r="O127" s="109"/>
      <c r="P127" s="17"/>
      <c r="Q127" s="9"/>
      <c r="R127" s="17"/>
      <c r="S127" s="63"/>
      <c r="T127" s="109"/>
      <c r="U127" s="17"/>
      <c r="V127" s="9"/>
      <c r="W127" s="17"/>
      <c r="X127" s="87"/>
      <c r="Y127" s="109"/>
      <c r="Z127" s="17"/>
      <c r="AA127" s="9"/>
      <c r="AB127" s="17"/>
      <c r="AC127" s="87"/>
      <c r="AD127" s="109"/>
      <c r="AE127" s="17"/>
      <c r="AF127" s="9"/>
      <c r="AG127" s="17"/>
      <c r="AH127" s="87"/>
      <c r="AI127" s="109"/>
      <c r="AJ127" s="17"/>
      <c r="AK127" s="9"/>
    </row>
    <row r="128" spans="1:37" ht="18" customHeight="1">
      <c r="A128" s="164"/>
      <c r="B128" s="6" t="s">
        <v>14</v>
      </c>
      <c r="C128" s="17"/>
      <c r="D128" s="63"/>
      <c r="E128" s="10"/>
      <c r="F128" s="64"/>
      <c r="G128" s="64"/>
      <c r="H128" s="17"/>
      <c r="I128" s="63"/>
      <c r="J128" s="10"/>
      <c r="K128" s="17"/>
      <c r="L128" s="9"/>
      <c r="M128" s="17"/>
      <c r="N128" s="63"/>
      <c r="O128" s="87"/>
      <c r="P128" s="17"/>
      <c r="Q128" s="9"/>
      <c r="R128" s="17">
        <v>1</v>
      </c>
      <c r="S128" s="63">
        <v>173.41</v>
      </c>
      <c r="T128" s="87"/>
      <c r="U128" s="17"/>
      <c r="V128" s="9"/>
      <c r="W128" s="17">
        <v>4</v>
      </c>
      <c r="X128" s="63">
        <v>1920</v>
      </c>
      <c r="Y128" s="87"/>
      <c r="Z128" s="17"/>
      <c r="AA128" s="9"/>
      <c r="AB128" s="17">
        <v>2</v>
      </c>
      <c r="AC128" s="63">
        <f>8658.47/AB128</f>
        <v>4329.235</v>
      </c>
      <c r="AD128" s="87"/>
      <c r="AE128" s="17"/>
      <c r="AF128" s="9"/>
      <c r="AG128" s="17">
        <v>2</v>
      </c>
      <c r="AH128" s="63">
        <f>1165/AG128</f>
        <v>582.5</v>
      </c>
      <c r="AI128" s="87"/>
      <c r="AJ128" s="17"/>
      <c r="AK128" s="9"/>
    </row>
    <row r="129" spans="1:37" ht="18" customHeight="1">
      <c r="A129" s="164"/>
      <c r="B129" s="6" t="s">
        <v>15</v>
      </c>
      <c r="C129" s="17"/>
      <c r="D129" s="63"/>
      <c r="E129" s="10"/>
      <c r="F129" s="64"/>
      <c r="G129" s="64"/>
      <c r="H129" s="17"/>
      <c r="I129" s="63"/>
      <c r="J129" s="10"/>
      <c r="K129" s="17"/>
      <c r="L129" s="9"/>
      <c r="M129" s="17"/>
      <c r="N129" s="63"/>
      <c r="O129" s="10"/>
      <c r="P129" s="17"/>
      <c r="Q129" s="9"/>
      <c r="R129" s="17"/>
      <c r="S129" s="63"/>
      <c r="T129" s="10"/>
      <c r="U129" s="17"/>
      <c r="V129" s="9"/>
      <c r="W129" s="17"/>
      <c r="X129" s="87"/>
      <c r="Y129" s="10"/>
      <c r="Z129" s="17"/>
      <c r="AA129" s="9"/>
      <c r="AB129" s="17"/>
      <c r="AC129" s="87"/>
      <c r="AD129" s="10"/>
      <c r="AE129" s="17"/>
      <c r="AF129" s="9"/>
      <c r="AG129" s="17"/>
      <c r="AH129" s="87"/>
      <c r="AI129" s="10"/>
      <c r="AJ129" s="17"/>
      <c r="AK129" s="9"/>
    </row>
    <row r="130" spans="1:37" ht="18" customHeight="1">
      <c r="A130" s="164"/>
      <c r="B130" s="6" t="s">
        <v>16</v>
      </c>
      <c r="C130" s="17"/>
      <c r="D130" s="63"/>
      <c r="E130" s="10"/>
      <c r="F130" s="64"/>
      <c r="G130" s="64"/>
      <c r="H130" s="17">
        <v>2</v>
      </c>
      <c r="I130" s="63">
        <f>3205.28/H130</f>
        <v>1602.64</v>
      </c>
      <c r="J130" s="10"/>
      <c r="K130" s="17"/>
      <c r="L130" s="9"/>
      <c r="M130" s="17">
        <v>1</v>
      </c>
      <c r="N130" s="63">
        <v>200</v>
      </c>
      <c r="O130" s="106"/>
      <c r="P130" s="17"/>
      <c r="Q130" s="9"/>
      <c r="R130" s="17">
        <v>3</v>
      </c>
      <c r="S130" s="63">
        <v>751.5533333333334</v>
      </c>
      <c r="T130" s="106"/>
      <c r="U130" s="17"/>
      <c r="V130" s="9"/>
      <c r="W130" s="17">
        <v>1</v>
      </c>
      <c r="X130" s="63">
        <v>650</v>
      </c>
      <c r="Y130" s="106"/>
      <c r="Z130" s="17"/>
      <c r="AA130" s="9"/>
      <c r="AB130" s="17">
        <v>2</v>
      </c>
      <c r="AC130" s="63">
        <f>(252+305)/AB130</f>
        <v>278.5</v>
      </c>
      <c r="AD130" s="106"/>
      <c r="AE130" s="17"/>
      <c r="AF130" s="9"/>
      <c r="AG130" s="17">
        <v>1</v>
      </c>
      <c r="AH130" s="63">
        <f>250</f>
        <v>250</v>
      </c>
      <c r="AI130" s="106"/>
      <c r="AJ130" s="17"/>
      <c r="AK130" s="9"/>
    </row>
    <row r="131" spans="1:37" ht="18" customHeight="1">
      <c r="A131" s="164"/>
      <c r="B131" s="6" t="s">
        <v>17</v>
      </c>
      <c r="C131" s="17"/>
      <c r="D131" s="63"/>
      <c r="E131" s="10"/>
      <c r="F131" s="64"/>
      <c r="G131" s="64"/>
      <c r="H131" s="17"/>
      <c r="I131" s="63"/>
      <c r="J131" s="10"/>
      <c r="K131" s="17"/>
      <c r="L131" s="9"/>
      <c r="M131" s="17"/>
      <c r="N131" s="63"/>
      <c r="O131" s="10"/>
      <c r="P131" s="17"/>
      <c r="Q131" s="9"/>
      <c r="R131" s="17"/>
      <c r="S131" s="63"/>
      <c r="T131" s="10"/>
      <c r="U131" s="17"/>
      <c r="V131" s="9"/>
      <c r="W131" s="17"/>
      <c r="X131" s="87"/>
      <c r="Y131" s="10"/>
      <c r="Z131" s="17"/>
      <c r="AA131" s="9"/>
      <c r="AB131" s="17"/>
      <c r="AC131" s="87"/>
      <c r="AD131" s="10"/>
      <c r="AE131" s="17"/>
      <c r="AF131" s="9"/>
      <c r="AG131" s="17"/>
      <c r="AH131" s="87"/>
      <c r="AI131" s="10"/>
      <c r="AJ131" s="17"/>
      <c r="AK131" s="9"/>
    </row>
    <row r="132" spans="1:37" ht="18" customHeight="1">
      <c r="A132" s="164"/>
      <c r="B132" s="6" t="s">
        <v>90</v>
      </c>
      <c r="C132" s="17"/>
      <c r="D132" s="63"/>
      <c r="E132" s="10"/>
      <c r="F132" s="64"/>
      <c r="G132" s="64"/>
      <c r="H132" s="17"/>
      <c r="I132" s="63"/>
      <c r="J132" s="10"/>
      <c r="K132" s="17"/>
      <c r="L132" s="9"/>
      <c r="M132" s="17"/>
      <c r="N132" s="63"/>
      <c r="O132" s="10"/>
      <c r="P132" s="17"/>
      <c r="Q132" s="9"/>
      <c r="R132" s="17"/>
      <c r="S132" s="63"/>
      <c r="T132" s="10"/>
      <c r="U132" s="17"/>
      <c r="V132" s="9"/>
      <c r="W132" s="17">
        <v>5</v>
      </c>
      <c r="X132" s="63">
        <v>1178.8</v>
      </c>
      <c r="Y132" s="10"/>
      <c r="Z132" s="17"/>
      <c r="AA132" s="9"/>
      <c r="AB132" s="17">
        <v>0</v>
      </c>
      <c r="AC132" s="63"/>
      <c r="AD132" s="10"/>
      <c r="AE132" s="17"/>
      <c r="AF132" s="9"/>
      <c r="AG132" s="17"/>
      <c r="AH132" s="63"/>
      <c r="AI132" s="10"/>
      <c r="AJ132" s="17"/>
      <c r="AK132" s="9"/>
    </row>
    <row r="133" spans="1:37" ht="18" customHeight="1">
      <c r="A133" s="164"/>
      <c r="B133" s="6" t="s">
        <v>18</v>
      </c>
      <c r="C133" s="17"/>
      <c r="D133" s="63"/>
      <c r="E133" s="10"/>
      <c r="F133" s="64"/>
      <c r="G133" s="64"/>
      <c r="H133" s="17">
        <v>2</v>
      </c>
      <c r="I133" s="63">
        <f>676/H133</f>
        <v>338</v>
      </c>
      <c r="J133" s="10"/>
      <c r="K133" s="17"/>
      <c r="L133" s="9"/>
      <c r="M133" s="17"/>
      <c r="N133" s="63"/>
      <c r="O133" s="10"/>
      <c r="P133" s="17"/>
      <c r="Q133" s="9"/>
      <c r="R133" s="17"/>
      <c r="S133" s="63"/>
      <c r="T133" s="10"/>
      <c r="U133" s="17"/>
      <c r="V133" s="9"/>
      <c r="W133" s="17">
        <v>2</v>
      </c>
      <c r="X133" s="63">
        <v>200</v>
      </c>
      <c r="Y133" s="10"/>
      <c r="Z133" s="17"/>
      <c r="AA133" s="9"/>
      <c r="AB133" s="17">
        <v>5</v>
      </c>
      <c r="AC133" s="63">
        <f>(25284.92-14795.44)/AB133</f>
        <v>2097.8959999999997</v>
      </c>
      <c r="AD133" s="10"/>
      <c r="AE133" s="17"/>
      <c r="AF133" s="9"/>
      <c r="AG133" s="17">
        <v>4</v>
      </c>
      <c r="AH133" s="63">
        <f>10063/AG133</f>
        <v>2515.75</v>
      </c>
      <c r="AI133" s="10"/>
      <c r="AJ133" s="17"/>
      <c r="AK133" s="9"/>
    </row>
    <row r="134" spans="1:37" s="60" customFormat="1" ht="18" customHeight="1">
      <c r="A134" s="164"/>
      <c r="B134" s="44" t="s">
        <v>19</v>
      </c>
      <c r="C134" s="56">
        <v>4</v>
      </c>
      <c r="D134" s="20">
        <f>10937.1/C134</f>
        <v>2734.275</v>
      </c>
      <c r="E134" s="55"/>
      <c r="F134" s="55"/>
      <c r="G134" s="55"/>
      <c r="H134" s="56">
        <f>SUM(H124:H133)</f>
        <v>9</v>
      </c>
      <c r="I134" s="20">
        <f>10996.82/H134</f>
        <v>1221.868888888889</v>
      </c>
      <c r="J134" s="55"/>
      <c r="K134" s="56"/>
      <c r="L134" s="20"/>
      <c r="M134" s="56">
        <f>SUM(M124:M133)</f>
        <v>3</v>
      </c>
      <c r="N134" s="20">
        <f>4459.19/M134</f>
        <v>1486.3966666666665</v>
      </c>
      <c r="O134" s="55"/>
      <c r="P134" s="56"/>
      <c r="Q134" s="20"/>
      <c r="R134" s="56">
        <f>SUM(R124:R133)</f>
        <v>7</v>
      </c>
      <c r="S134" s="20">
        <v>645</v>
      </c>
      <c r="T134" s="55"/>
      <c r="U134" s="56"/>
      <c r="V134" s="20"/>
      <c r="W134" s="56">
        <f>SUM(W124:W133)</f>
        <v>16</v>
      </c>
      <c r="X134" s="20">
        <v>1074.75</v>
      </c>
      <c r="Y134" s="55"/>
      <c r="Z134" s="56"/>
      <c r="AA134" s="20"/>
      <c r="AB134" s="56">
        <f>SUM(AB124:AB133)</f>
        <v>17</v>
      </c>
      <c r="AC134" s="20">
        <f>(68521.96-14795.44-7000-6300)/AB134</f>
        <v>2378.0305882352945</v>
      </c>
      <c r="AD134" s="55"/>
      <c r="AE134" s="56"/>
      <c r="AF134" s="20"/>
      <c r="AG134" s="56">
        <f>SUM(AG124:AG133)</f>
        <v>13</v>
      </c>
      <c r="AH134" s="20">
        <f>(68521.96-14795.44-7000-6300)/AG134</f>
        <v>3109.732307692308</v>
      </c>
      <c r="AI134" s="55"/>
      <c r="AJ134" s="56"/>
      <c r="AK134" s="20"/>
    </row>
    <row r="136" spans="2:3" ht="15.75">
      <c r="B136" s="70" t="s">
        <v>71</v>
      </c>
      <c r="C136" s="71" t="s">
        <v>74</v>
      </c>
    </row>
    <row r="137" spans="2:3" ht="15.75">
      <c r="B137" s="69" t="s">
        <v>71</v>
      </c>
      <c r="C137" s="71" t="s">
        <v>75</v>
      </c>
    </row>
  </sheetData>
  <mergeCells count="20">
    <mergeCell ref="AB1:AF1"/>
    <mergeCell ref="W1:AA1"/>
    <mergeCell ref="A113:A123"/>
    <mergeCell ref="A14:A24"/>
    <mergeCell ref="M1:Q1"/>
    <mergeCell ref="R1:V1"/>
    <mergeCell ref="A1:A2"/>
    <mergeCell ref="B1:G1"/>
    <mergeCell ref="H1:L1"/>
    <mergeCell ref="A3:A13"/>
    <mergeCell ref="AG1:AK1"/>
    <mergeCell ref="A124:A134"/>
    <mergeCell ref="A25:A35"/>
    <mergeCell ref="A47:A57"/>
    <mergeCell ref="A58:A68"/>
    <mergeCell ref="A69:A79"/>
    <mergeCell ref="A36:A46"/>
    <mergeCell ref="A80:A90"/>
    <mergeCell ref="A102:A112"/>
    <mergeCell ref="A91:A101"/>
  </mergeCells>
  <printOptions/>
  <pageMargins left="0.3937007874015748" right="0.3937007874015748" top="0.3937007874015748" bottom="0.3937007874015748" header="0.7086614173228347" footer="0.5118110236220472"/>
  <pageSetup horizontalDpi="600" verticalDpi="600" orientation="landscape" paperSize="8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Casalecchio di Reno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3cimeadm</dc:creator>
  <cp:keywords/>
  <dc:description/>
  <cp:lastModifiedBy>mperi</cp:lastModifiedBy>
  <cp:lastPrinted>2019-05-21T09:43:19Z</cp:lastPrinted>
  <dcterms:created xsi:type="dcterms:W3CDTF">2013-07-09T16:19:41Z</dcterms:created>
  <dcterms:modified xsi:type="dcterms:W3CDTF">2019-05-28T13:08:05Z</dcterms:modified>
  <cp:category/>
  <cp:version/>
  <cp:contentType/>
  <cp:contentStatus/>
</cp:coreProperties>
</file>