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30" windowWidth="15480" windowHeight="11640" tabRatio="962" firstSheet="4" activeTab="10"/>
  </bookViews>
  <sheets>
    <sheet name="Indice" sheetId="1" r:id="rId1"/>
    <sheet name="La casa sul filo" sheetId="2" r:id="rId2"/>
    <sheet name="Sul filo del contrasto" sheetId="3" r:id="rId3"/>
    <sheet name="Consulenza legale" sheetId="4" r:id="rId4"/>
    <sheet name="Centro per le Famiglie" sheetId="5" r:id="rId5"/>
    <sheet name="Progetto AAA" sheetId="6" r:id="rId6"/>
    <sheet name="Borgo Solidale San Francesco" sheetId="7" r:id="rId7"/>
    <sheet name="Casa accoglienza donne e figli" sheetId="8" r:id="rId8"/>
    <sheet name="Centro specialistico Il Faro" sheetId="9" r:id="rId9"/>
    <sheet name="Servizio Affido" sheetId="10" r:id="rId10"/>
    <sheet name="Servizio Fam. Accoglienti" sheetId="11" r:id="rId11"/>
    <sheet name="Esoneri" sheetId="12" r:id="rId12"/>
    <sheet name="Buoni spesa" sheetId="13" r:id="rId13"/>
    <sheet name="Contributi economici" sheetId="14" r:id="rId14"/>
    <sheet name="Borse Lavoro minori" sheetId="15" r:id="rId15"/>
    <sheet name="Borse Lavoro adulti con minori" sheetId="16" r:id="rId16"/>
    <sheet name="Educazione al Lavoro" sheetId="17" r:id="rId17"/>
    <sheet name="Interventi individuali" sheetId="18" r:id="rId18"/>
    <sheet name="Interventi di gruppo" sheetId="19" r:id="rId19"/>
    <sheet name="Educativa di strada" sheetId="20" r:id="rId20"/>
    <sheet name="Incontri protetti" sheetId="21" r:id="rId21"/>
    <sheet name="Mediazione interculturale" sheetId="22" r:id="rId22"/>
    <sheet name="Insegnamento lingua italiana" sheetId="23" r:id="rId23"/>
    <sheet name="Tempo libero disabili" sheetId="24" r:id="rId24"/>
    <sheet name="Centri estivi" sheetId="25" r:id="rId25"/>
    <sheet name="Gite disabili" sheetId="26" r:id="rId26"/>
    <sheet name="Mediatori scolastici" sheetId="27" r:id="rId27"/>
    <sheet name="Accompagnamento scolastico" sheetId="28" r:id="rId28"/>
    <sheet name="Trasporto minori" sheetId="29" r:id="rId29"/>
    <sheet name="Educativa scolastica" sheetId="30" r:id="rId30"/>
    <sheet name="Sostegno scolastico" sheetId="31" r:id="rId31"/>
    <sheet name="PRIS" sheetId="32" r:id="rId32"/>
    <sheet name="Provvedimenti giudiziari" sheetId="33" r:id="rId33"/>
    <sheet name="Rette residenziali" sheetId="34" r:id="rId34"/>
  </sheets>
  <definedNames/>
  <calcPr fullCalcOnLoad="1"/>
</workbook>
</file>

<file path=xl/sharedStrings.xml><?xml version="1.0" encoding="utf-8"?>
<sst xmlns="http://schemas.openxmlformats.org/spreadsheetml/2006/main" count="8221" uniqueCount="577">
  <si>
    <t>Colombia</t>
  </si>
  <si>
    <t>Italia/Russia</t>
  </si>
  <si>
    <t>Provvedimento</t>
  </si>
  <si>
    <t>cit. Ita</t>
  </si>
  <si>
    <t>Mauritania</t>
  </si>
  <si>
    <t>Pacchetto plesso Galilei</t>
  </si>
  <si>
    <t>Pacchetto medie Marconi</t>
  </si>
  <si>
    <t>Pacchetto plesso superiori</t>
  </si>
  <si>
    <t>TOTALE CASALECCHIO DI RENO</t>
  </si>
  <si>
    <t>Pacchetto materna Zappolino</t>
  </si>
  <si>
    <t xml:space="preserve">Borgo Solidale San Francesco </t>
  </si>
  <si>
    <t>Servizio Famiglie Accoglienti</t>
  </si>
  <si>
    <t>Servizio Affido</t>
  </si>
  <si>
    <t>TOTALE MONTEVEGLIO</t>
  </si>
  <si>
    <t>AMISS Associazione mediatrici interculturali sociali e sanitarie</t>
  </si>
  <si>
    <t>Provenienza</t>
  </si>
  <si>
    <t>Moldavia</t>
  </si>
  <si>
    <t>Camerun</t>
  </si>
  <si>
    <t>Marocco</t>
  </si>
  <si>
    <t>Benin</t>
  </si>
  <si>
    <t>Nigeria</t>
  </si>
  <si>
    <t>Iran</t>
  </si>
  <si>
    <t>TOTALE SAVIGNO</t>
  </si>
  <si>
    <t xml:space="preserve">Esoneri centri estivi  </t>
  </si>
  <si>
    <t xml:space="preserve">Esoneri doposcuola </t>
  </si>
  <si>
    <t xml:space="preserve">Esoneri Servizi Integrativi pre-post scuola  </t>
  </si>
  <si>
    <t xml:space="preserve">MEDIATORI SCOLASTICI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</si>
  <si>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Salvemini</t>
  </si>
  <si>
    <t>IPSSAR Scappi</t>
  </si>
  <si>
    <t>Aldovandi Rubbiani</t>
  </si>
  <si>
    <t>Crescenzi-Pacinotti</t>
  </si>
  <si>
    <t>Yugoslavia</t>
  </si>
  <si>
    <t>Repubblica Ceca</t>
  </si>
  <si>
    <t>Perù</t>
  </si>
  <si>
    <t>Pacchetto medie Francia</t>
  </si>
  <si>
    <t>Le Borse Lavoro sono progetti di sostegno per minori con disagio finalizzati all'inserimento nel mondo del lavoro, o all'alternanza scuola-lavoro, per il contrasto dell'evasione e l'assolvimento dell'obbligo scolastico.</t>
  </si>
  <si>
    <t>Utenti</t>
  </si>
  <si>
    <t>Italiani</t>
  </si>
  <si>
    <t>Stranieri</t>
  </si>
  <si>
    <t>Anno di nascita</t>
  </si>
  <si>
    <t>Costo orario</t>
  </si>
  <si>
    <t xml:space="preserve">Comune </t>
  </si>
  <si>
    <t>Gli interventi individuali per la prevenzione del disagio sono azioni educative, di accompagnamento e di sostegno, rivolte a minori in situazioni di disagio psico-sociale negli ambiti familiare, scolastico e sociale.</t>
  </si>
  <si>
    <t>Gli interventi di gruppo per la prevenzione del disagio sono luoghi di incontro mediati da una figura educativa. Sono rivolti a minori dai 10 ai 14 anni a rischio di disagio psico-sociale, segnalati dalla Scuola e/o già in carico ai Servizi.</t>
  </si>
  <si>
    <t>Serbia e Montenegro</t>
  </si>
  <si>
    <t>Macedonia</t>
  </si>
  <si>
    <t>Coppie che hanno iniziato l'indagine nel 2012</t>
  </si>
  <si>
    <t xml:space="preserve">Coppie che hanno concluso l'indagine nel 2012   </t>
  </si>
  <si>
    <t>Coppie che hanno l'indagine in corso al 21.12.2012</t>
  </si>
  <si>
    <t>Coppie che hanno sospeso l'indagine nel 2012</t>
  </si>
  <si>
    <t>Nuclei familiari visti nel 2012 (colloqui individuali)</t>
  </si>
  <si>
    <t>Canone residuo 2012</t>
  </si>
  <si>
    <t>CSAPSA</t>
  </si>
  <si>
    <t>CADIAI</t>
  </si>
  <si>
    <t>INCONTRI PROTETTI</t>
  </si>
  <si>
    <t>Famiglia affidataria</t>
  </si>
  <si>
    <t>Comune</t>
  </si>
  <si>
    <t>Costo interventi</t>
  </si>
  <si>
    <t>Totale</t>
  </si>
  <si>
    <t>Famiglia accogliente</t>
  </si>
  <si>
    <t>Associazione</t>
  </si>
  <si>
    <t xml:space="preserve">Utenti </t>
  </si>
  <si>
    <t>Quantità</t>
  </si>
  <si>
    <t xml:space="preserve">Sostegno al reddito 40071155 </t>
  </si>
  <si>
    <t>CASALECCHIO DI RENO</t>
  </si>
  <si>
    <t>MONTE SAN PIETRO</t>
  </si>
  <si>
    <t>BAZZANO</t>
  </si>
  <si>
    <t>CASTELLO DI SERRAVALLE</t>
  </si>
  <si>
    <t>CRESPELLANO</t>
  </si>
  <si>
    <t>MONTEVEGLIO</t>
  </si>
  <si>
    <t>SASSO MARCONI</t>
  </si>
  <si>
    <t>SAVIGNO</t>
  </si>
  <si>
    <t>ZOLA PREDOSA</t>
  </si>
  <si>
    <t>M</t>
  </si>
  <si>
    <t>F</t>
  </si>
  <si>
    <t>TOTALE BAZZANO</t>
  </si>
  <si>
    <t>Struttura</t>
  </si>
  <si>
    <t>Polonia</t>
  </si>
  <si>
    <t>Mediazione interculturale</t>
  </si>
  <si>
    <t>BORGO SOLIDALE SAN FRANCESCO</t>
  </si>
  <si>
    <t xml:space="preserve">Integrazione fatture 2011 </t>
  </si>
  <si>
    <t>Spese per uscite didattiche minori</t>
  </si>
  <si>
    <t>Serbia e Montenegro cit.Ita</t>
  </si>
  <si>
    <t>Italia/Rep.Dominicana</t>
  </si>
  <si>
    <t>Cooperativa</t>
  </si>
  <si>
    <t>L'educativa di strada è un'attività mediata da una o più figure educative, rivolta a gruppi spontanei di adolescenti e giovani nei luoghi naturali di ritrovo. L'attività è finalizzata a costruire una relazione significativa tra i/le componenti del gruppo e tra questi/e e gli/le educatori/trici, anche attraverso l'organizzazione di iniziative specifiche.</t>
  </si>
  <si>
    <t>TOTALE PROVVEDIMENTI DISTRETTO</t>
  </si>
  <si>
    <t>Sul filo del contrasto</t>
  </si>
  <si>
    <t xml:space="preserve">Consulenza legale </t>
  </si>
  <si>
    <t>PRIS</t>
  </si>
  <si>
    <t xml:space="preserve">Centro per le Famiglie </t>
  </si>
  <si>
    <t>Incontri protetti</t>
  </si>
  <si>
    <t>Tempo libero minori disabili</t>
  </si>
  <si>
    <t xml:space="preserve">Rette residenziali </t>
  </si>
  <si>
    <t>TOTALE</t>
  </si>
  <si>
    <t>TOTALE CASTELLO DI SERRAVALLE</t>
  </si>
  <si>
    <t>Pakistan</t>
  </si>
  <si>
    <t>AREA MINORI E FAMIGLIE</t>
  </si>
  <si>
    <t>TEMPO LIBERO MINORI DISABILI</t>
  </si>
  <si>
    <t>Buoni spesa</t>
  </si>
  <si>
    <t>Gite disabili</t>
  </si>
  <si>
    <t>Mediatori scolastici</t>
  </si>
  <si>
    <t>Educativa scolastica</t>
  </si>
  <si>
    <t xml:space="preserve">Accompagnamento scolastico </t>
  </si>
  <si>
    <t>Pacchetto materne Bazzano</t>
  </si>
  <si>
    <t>Istituto</t>
  </si>
  <si>
    <t>Ore</t>
  </si>
  <si>
    <t>Rimborso spese</t>
  </si>
  <si>
    <t>Mediatore turco - Istituto Comprensivo di Zola Predosa</t>
  </si>
  <si>
    <t>Mediatore cinese - Istituto Comprensivo di Zola Predosa</t>
  </si>
  <si>
    <t>Italia/Ucraina</t>
  </si>
  <si>
    <t>Pacchetto elementari Calcara</t>
  </si>
  <si>
    <t>Tunisia cit. Ita/Tunisia</t>
  </si>
  <si>
    <t>Italia/Perù</t>
  </si>
  <si>
    <t>Bulgaria</t>
  </si>
  <si>
    <t>Tunisia/Italia</t>
  </si>
  <si>
    <t xml:space="preserve">Contributi in denaro per sostegno al reddito (utenze, spese sanitarie e scolastiche, spese di prima necessità), per emergenze abitative (affitti, caparre) e per la prevenzione del disagio a favore di famiglie con minori in situazione di difficoltà socio-economica. </t>
  </si>
  <si>
    <t xml:space="preserve">Per rette residenziali si intendono i costi per l'inserimento in struttura di madri con figli/e o di minori in situazioni di grave difficoltà o pregiudizio, nonché le spese per strutture alberghiere o di pronta accoglienza per l'ospitalità di nuclei in condizioni di emergenza abitativa. </t>
  </si>
  <si>
    <t>Lettonia</t>
  </si>
  <si>
    <t>Argentina</t>
  </si>
  <si>
    <t>Esoneri dal pagamento delle rette per i Centri estivi e per i Servizi integrativi pre-postscuola e doposcuola, a favore di nuclei con minori in situazione di disagio socio-economico.</t>
  </si>
  <si>
    <t>Polisportiva Masi</t>
  </si>
  <si>
    <t>UISP/Girotondo</t>
  </si>
  <si>
    <t>Girotondo</t>
  </si>
  <si>
    <t>Valore nominale             € 10,00</t>
  </si>
  <si>
    <t>CENTRO SPECIALISTICO IL FARO</t>
  </si>
  <si>
    <t>ESONERI PAGAMENTO RETTE DIVERSE</t>
  </si>
  <si>
    <t>Congo</t>
  </si>
  <si>
    <t>Parrocchia di San Biagio</t>
  </si>
  <si>
    <t>Italia/Marocco</t>
  </si>
  <si>
    <t xml:space="preserve">Serbia </t>
  </si>
  <si>
    <t>Monaco di B.</t>
  </si>
  <si>
    <t>Montenegro</t>
  </si>
  <si>
    <t>Bulgaria/Italia</t>
  </si>
  <si>
    <t>Pakistan/Italia</t>
  </si>
  <si>
    <t>Marocco cit. ita</t>
  </si>
  <si>
    <t>Italia (madre)</t>
  </si>
  <si>
    <t>Marocco cit. Ita/Marocco</t>
  </si>
  <si>
    <t>Italia/Croazia</t>
  </si>
  <si>
    <t>Brasile/Italia</t>
  </si>
  <si>
    <t>Canada</t>
  </si>
  <si>
    <t>Tunisia cit.Ita</t>
  </si>
  <si>
    <t>Marocco cit.Ita</t>
  </si>
  <si>
    <t>APD ANTAL Pallavicini</t>
  </si>
  <si>
    <t>contributo</t>
  </si>
  <si>
    <t>Marocco cit.ita</t>
  </si>
  <si>
    <t>Guinea cit.ita</t>
  </si>
  <si>
    <t>Svizzera</t>
  </si>
  <si>
    <t>Italia/Nigeria</t>
  </si>
  <si>
    <t>Emergenza abitativa 40071154</t>
  </si>
  <si>
    <t>Italia (adozione)</t>
  </si>
  <si>
    <t>TOTALE CASALECCHIO</t>
  </si>
  <si>
    <t>TOTALE MONTE S PIETRO</t>
  </si>
  <si>
    <t>CSAPSA/CADIAI</t>
  </si>
  <si>
    <t xml:space="preserve">TOTALE SAVIGNO </t>
  </si>
  <si>
    <t>Italia/Moldavia</t>
  </si>
  <si>
    <t>Istituto Paradisi Vignola</t>
  </si>
  <si>
    <t>TOTALE ISTITUTI</t>
  </si>
  <si>
    <t xml:space="preserve">Data </t>
  </si>
  <si>
    <t>Descrizione</t>
  </si>
  <si>
    <t xml:space="preserve">Rivolto a </t>
  </si>
  <si>
    <t>Condotto da</t>
  </si>
  <si>
    <t xml:space="preserve">Costo orario </t>
  </si>
  <si>
    <t>Presentazione del progetto e brainstorming facilitato sulla rappresentazione della violenza contro le donne</t>
  </si>
  <si>
    <t>Responsabili Aree Minori e Disagio, Assistenti Sociali Minori e Disagio, Psicologa ASL e Ostetrica ASL, Mediatrici</t>
  </si>
  <si>
    <t>Letizia Lambertini</t>
  </si>
  <si>
    <t>Operatori/trici  degli Sportelli di Ascolto, Insegnanti referenti degli Sportello di Ascolto, Responsabilicomunali degli Sportelli di Ascolto</t>
  </si>
  <si>
    <t>Prevenzione Disagio 40071150</t>
  </si>
  <si>
    <t>Sri Lanka</t>
  </si>
  <si>
    <t>Gran Bertagna</t>
  </si>
  <si>
    <t>Gran Bretagna/Italia</t>
  </si>
  <si>
    <t>Costa Avorio</t>
  </si>
  <si>
    <t>Brasile</t>
  </si>
  <si>
    <t>Pacchetto elementari Garibaldi</t>
  </si>
  <si>
    <t>Pacchetto medie Galilei</t>
  </si>
  <si>
    <t>Pacchetto medie Bazzano</t>
  </si>
  <si>
    <t>Per provvedimenti dell'Autorità Giudiziaria si intende l'attuazione dei decreti emessi in favore di minori in situazione di grave difficoltà o pregiudizio, con prescrizione ai Servizi. In particolare: vigilanza sulla situazione familiare, affidamento del/della minore al Servizio (in caso di limitazione della potestà genitoriale), tutela da parte del Servizio (in caso di decadenza della potestà genitoriale).</t>
  </si>
  <si>
    <t>Croce Servizi</t>
  </si>
  <si>
    <t>Pubblica Assistenza Sasso Marconi</t>
  </si>
  <si>
    <t>Insieme per il Bilinguismo</t>
  </si>
  <si>
    <t>Situazione</t>
  </si>
  <si>
    <t>PROGETTO INPDAP</t>
  </si>
  <si>
    <t>TOTALE FUORI DISTRETTO</t>
  </si>
  <si>
    <t xml:space="preserve">Tipologia di affido </t>
  </si>
  <si>
    <t>Spesa complessiva per affido</t>
  </si>
  <si>
    <t xml:space="preserve">affido eterofamiliare madre bambino consensuale full-time </t>
  </si>
  <si>
    <t>affido eterofamiliare giudiziale full-time</t>
  </si>
  <si>
    <t xml:space="preserve">affido eterofamiliare consensuale part-time </t>
  </si>
  <si>
    <t>affido eterofamiliare consensuale part-time</t>
  </si>
  <si>
    <t>affido parentale giudiziale full-time</t>
  </si>
  <si>
    <t>affido parentale full-time</t>
  </si>
  <si>
    <t>nessun contributo economico</t>
  </si>
  <si>
    <t>affido eterofamiliare giudiziale full time</t>
  </si>
  <si>
    <t xml:space="preserve">affido parentale giudiziale full-time </t>
  </si>
  <si>
    <t>2000 e 2006</t>
  </si>
  <si>
    <t>Attività</t>
  </si>
  <si>
    <t>Coppie partecipanti</t>
  </si>
  <si>
    <t>Condotta da</t>
  </si>
  <si>
    <t xml:space="preserve">Corsi </t>
  </si>
  <si>
    <t>Durata</t>
  </si>
  <si>
    <t>Colloqui informativi</t>
  </si>
  <si>
    <t>As. Sociale/Psicologa</t>
  </si>
  <si>
    <t>Corsi affido</t>
  </si>
  <si>
    <t>3h ciascuno</t>
  </si>
  <si>
    <t>Corsi formazione all'adozione nazionale e internazionale</t>
  </si>
  <si>
    <t>POST ADOZIONE PRIMO ANNO</t>
  </si>
  <si>
    <t>Minori collocati in affidamento preadottivo (adozione nazionale)</t>
  </si>
  <si>
    <t>Minori collocati in affidamento preadottivo (adozione internazionale)</t>
  </si>
  <si>
    <t>Minori collocati con rischio giuridico</t>
  </si>
  <si>
    <t>POST ADOZIONE DAL SECONDO ANNO IN POI</t>
  </si>
  <si>
    <t xml:space="preserve">Gruppi di post adozione </t>
  </si>
  <si>
    <t>Coppie che hanno partecipato ai gruppi di post adozione</t>
  </si>
  <si>
    <t>Italia</t>
  </si>
  <si>
    <t>Codice Fiscale</t>
  </si>
  <si>
    <t>Provenienza nucleo familiare</t>
  </si>
  <si>
    <t>Contributo per accoglienza</t>
  </si>
  <si>
    <t>Ore di intervento genn-giu 2012</t>
  </si>
  <si>
    <t>Itallia</t>
  </si>
  <si>
    <t>Costa D'Avorio</t>
  </si>
  <si>
    <t>Marocco/ Italia</t>
  </si>
  <si>
    <t>Ucraina</t>
  </si>
  <si>
    <t>Kossovo</t>
  </si>
  <si>
    <t>Italia/Tunisia</t>
  </si>
  <si>
    <t>Turchia</t>
  </si>
  <si>
    <t>Pacchetto superiori Salvemini</t>
  </si>
  <si>
    <t>Per tempo libero minori disabili si intendono tutti gli interventi educativi extra-scolastici rivolti a minori con disabilità. L'obiettivo è quello di supportare la costruzione di relazioni con il gruppo dei pari e degli/delle adulti/e di riferimento.</t>
  </si>
  <si>
    <t>Etiopia</t>
  </si>
  <si>
    <t>TOTALE DISTRETTO</t>
  </si>
  <si>
    <r>
      <t xml:space="preserve">
</t>
    </r>
    <r>
      <rPr>
        <sz val="12"/>
        <rFont val="Helvetica"/>
        <family val="0"/>
      </rPr>
      <t>Tre alloggi, di cui uno nel Comune di Crespellano e due nel Comune di Casalecchio di Reno, destinati ad accogliere nuclei monogenitoriali in condizione di elevato rischio psico-sociale. In uno dei tre alloggi, è prevista l'accoglienza di due nuclei in convivenza.</t>
    </r>
    <r>
      <rPr>
        <b/>
        <sz val="12"/>
        <rFont val="Helvetica"/>
        <family val="0"/>
      </rPr>
      <t xml:space="preserve">
</t>
    </r>
  </si>
  <si>
    <t>Contributi economici di sostegno al reddito, emergenze abitative, prevenzione disagio</t>
  </si>
  <si>
    <t>Educazione al Lavoro</t>
  </si>
  <si>
    <t xml:space="preserve">SOSTEGNO SOCIO-ASSISTENZIALE SCOLASTICO </t>
  </si>
  <si>
    <t>Sostegno socio-assistenziale scolastico</t>
  </si>
  <si>
    <t>Attivazione Borse Lavoro e incontri protetti</t>
  </si>
  <si>
    <t>Sul filo del contrasto è un progetto che ha come obiettivo la costruzione e il consolidamento di una rete tra tutti i soggetti che sul territorio hanno a che fare con problemi di violenza contro le donne, con il fine di coordinare l'azione di contrasto rendendola più riconoscibile e più efficace.</t>
  </si>
  <si>
    <t xml:space="preserve">SUL FILO DEL CONTRASTO                                                                                                                                                             </t>
  </si>
  <si>
    <t>Presentazione del progetto e coinvolgimento sul suo sviluppo                        Primo confronto sul significato di violenza contro le donne</t>
  </si>
  <si>
    <t>Il Servizio di Consulenza legale è realizzato in collaborazione con l’Unione Donne Italiane di Bologna (Associazione con un’ampia e specifica esperienza di tutela delle donne) e consiste nella presenza di un’avvocata del Gruppo Giustizia disponibile per colloqui gratuiti, individuali e di coppia, in materia di diritto di famiglia, tutela dei/delle minori, successioni, problemi di carattere legale e per incontri d’informazione e formazione con le assistenti sociali per adulti/e e minori operanti sul territorio.</t>
  </si>
  <si>
    <t>Costo interventi gen-giu 2012</t>
  </si>
  <si>
    <t>Costo trasporti gen-giu 2012</t>
  </si>
  <si>
    <t>Ore di intervento set-dic 2012</t>
  </si>
  <si>
    <t>Costo interventi set-dic 2012</t>
  </si>
  <si>
    <t>Spese          gen-giu 2012</t>
  </si>
  <si>
    <t xml:space="preserve">EDUCATIVA SCOLASTICA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</si>
  <si>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Pacchetto superiori Bazzano</t>
  </si>
  <si>
    <t xml:space="preserve">minore </t>
  </si>
  <si>
    <t>famiglia in difficoltà</t>
  </si>
  <si>
    <t>sfratto</t>
  </si>
  <si>
    <t>Le Borse Lavoro sono progetti di sostegno per adulti, disoccupati e in situazione di disagio sociale, con figli minori. Sono finalizzati all'inserimento, al re-inserimento o all'avvicinamento al mondo del lavoro.</t>
  </si>
  <si>
    <t>BORSE LAVORO ADULTI CON MINORI                                                                                                                                                                                                       40071157</t>
  </si>
  <si>
    <t>PROGETTI SOVRACOMUNALI</t>
  </si>
  <si>
    <t>TOTALE PROGETTI SOVRACOMUNALI</t>
  </si>
  <si>
    <t>* Per l' anno 2012 il costo non è riportato in quanto l'Azienda USL, che gestisce il Servizio, non ha ancora trasmesso richiesta di rimborso</t>
  </si>
  <si>
    <t>Il Faro è un centro specialistico provinciale che si occupa di maltrattamento e abuso ai danni di minori. Offre consulenza di elevata competenza, multidisciplinare e interdisciplinare (psicologica, psichiatrica, pedagogica, pediatrica, ginecologica, giuridica), sul piano diagnostico, clinico e terapeutico.*</t>
  </si>
  <si>
    <t>UISP comitato provinciale di Bologna: per i nominativi fare riferimento alla scheda Esoneri</t>
  </si>
  <si>
    <t>CONTRIBUTI ECONOMICI DI SOSTEGNO AL REDDITO, PER EMERGENZE ABITATIVE, PREVENZIONE DISAGIO</t>
  </si>
  <si>
    <t>Spese gen-giu 2012</t>
  </si>
  <si>
    <t>Aldebaran</t>
  </si>
  <si>
    <t>Fondazione Pini</t>
  </si>
  <si>
    <t>Ore di intervento gen-giu 2012</t>
  </si>
  <si>
    <t>Costo trasporti      gen-giu 2012</t>
  </si>
  <si>
    <t>Costo interventi        set-dic 2012</t>
  </si>
  <si>
    <t>Spese               gen-giu 2012</t>
  </si>
  <si>
    <t>Ore di intervento       set-dic 2012</t>
  </si>
  <si>
    <t>Costo interventi           gen-giu 2012</t>
  </si>
  <si>
    <t>Spese                gen-giu 2012</t>
  </si>
  <si>
    <t>Ore di intervento         set -dic 2012</t>
  </si>
  <si>
    <t>gen-mag 2012</t>
  </si>
  <si>
    <t>gen-giu 2012</t>
  </si>
  <si>
    <t>gen-feb 2012</t>
  </si>
  <si>
    <t>Progetto INPDAP</t>
  </si>
  <si>
    <t>Ore di intervento         gen-giu 2012</t>
  </si>
  <si>
    <t xml:space="preserve">CENTRI ESTIVI DISABILI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</si>
  <si>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Fattoria Cà Bellocchio</t>
  </si>
  <si>
    <t>Interventi educativi a favore di minori con disabilità nell'ambito dei Centri estivi.</t>
  </si>
  <si>
    <t>Sol.Co Insieme</t>
  </si>
  <si>
    <t>Libertas/Sol.Co Insieme</t>
  </si>
  <si>
    <t xml:space="preserve">Centri estivi disabili </t>
  </si>
  <si>
    <t>Pasti educatori sostegno Centri estivi</t>
  </si>
  <si>
    <t>APD ANTAL Pallavicini Centro Sportivo Italiano</t>
  </si>
  <si>
    <t>Polisportiva Masi: per i nominativi fare riferimento alla scheda Esoneri</t>
  </si>
  <si>
    <t xml:space="preserve"> Interventi educativi per l'accompagnamento di minori con disabilità durante le gite scolastiche o i soggiorni estivi superiori a un giorno.</t>
  </si>
  <si>
    <t>Montessori Da Vinci Porretta</t>
  </si>
  <si>
    <t>Arcangeli</t>
  </si>
  <si>
    <t>L'accompagnamento scolastico è un Servizio rivolto a minori con disabilità per il tragitto da casa a Scuola e ritorno.</t>
  </si>
  <si>
    <t>Servizio rivolto a minori con disabilità e a minori o alle famiglie con minori che si trovano in situazioni di disagio economico e sociale.</t>
  </si>
  <si>
    <t>Autoblu, Croce Servizi, Pubblica Assistenza Vignola</t>
  </si>
  <si>
    <t>Ore di intervento        gen-giu 2012</t>
  </si>
  <si>
    <t>CADIAI/Sol.Co Insieme</t>
  </si>
  <si>
    <t>COOP Babini/Sol.Co Insieme</t>
  </si>
  <si>
    <t>Pacchetto superiori Scappi</t>
  </si>
  <si>
    <t xml:space="preserve">Pacchetto superiori </t>
  </si>
  <si>
    <t>Spese per Ben Hassine Bilel</t>
  </si>
  <si>
    <t>Pacchetto materne Riale</t>
  </si>
  <si>
    <t>Pacchetto scuole Albergati</t>
  </si>
  <si>
    <t>Pacchetto scuole Theodoli</t>
  </si>
  <si>
    <t>liti familiari</t>
  </si>
  <si>
    <t>madre maltrattata con figlio</t>
  </si>
  <si>
    <t>madre maltrattata con figli</t>
  </si>
  <si>
    <t>TOTALE TUTELE BAZZANO</t>
  </si>
  <si>
    <t>TOTALE AFFIDI BAZZANO</t>
  </si>
  <si>
    <t>TOTALE TUTELE CASALECCHIO DI RENO</t>
  </si>
  <si>
    <t>TOTALE AFFIDI CASALECCHIO DI RENO</t>
  </si>
  <si>
    <t>TOTALE VIGILANZE BAZZANO</t>
  </si>
  <si>
    <t>TOTALE VIGILANZE CASALECCHIO DI RENO</t>
  </si>
  <si>
    <t>TOTALE TUTELE CASTELLO DI SERRAVALLE</t>
  </si>
  <si>
    <t>TOTALE AFFIDI CASTELLO DI SERRAVALLE</t>
  </si>
  <si>
    <t>TOTALE VIGILANZE CASTELLO DI SERRAVALLE</t>
  </si>
  <si>
    <t>TOTALE TUTELE CRESPELLANO</t>
  </si>
  <si>
    <t>TOTALE AFFIDI CRESPELLANO</t>
  </si>
  <si>
    <t>TOTALE VIGILANZE CRESPELLANO</t>
  </si>
  <si>
    <t>TOTALE AFFIDI MONTE SAN PIETRO</t>
  </si>
  <si>
    <t>TOTALE VIGILANZE MONTE SAN PIETRO</t>
  </si>
  <si>
    <t>TOTALE TUTELE MONTEVEGLIO</t>
  </si>
  <si>
    <t>TOTALE AFFIDI MONTEVEGLIO</t>
  </si>
  <si>
    <t>TOTALE VIGILANZE MONTEVEGLIO</t>
  </si>
  <si>
    <t>TOTALE TUTELE SASSO MARCONI</t>
  </si>
  <si>
    <t>TOTALE AFFIDI SASSO MARCONI</t>
  </si>
  <si>
    <t>TOTALE VIGILANZE SASSO MARCONI</t>
  </si>
  <si>
    <t>TOTALE CURATELE SASSO MARCONI</t>
  </si>
  <si>
    <t>TOTALE AFFIDI SAVIGNO</t>
  </si>
  <si>
    <t>TOTALE VIGILANZE SAVIGNO</t>
  </si>
  <si>
    <t>TOTALE TUTELE ZOLA PREDOSA</t>
  </si>
  <si>
    <t>TOTALE AFFIDI ZOLA PREDOSA</t>
  </si>
  <si>
    <t>TOTALE VIGILANZE ZOLA PREDOSA</t>
  </si>
  <si>
    <t>nonna</t>
  </si>
  <si>
    <t>Ghana</t>
  </si>
  <si>
    <t>Albania</t>
  </si>
  <si>
    <t>TOTALE ZOLA PREDOSA</t>
  </si>
  <si>
    <t>Casa Accoglienza gennaio-giugno</t>
  </si>
  <si>
    <t>Casa Accoglienza settembre-dicembre</t>
  </si>
  <si>
    <t>CASA DI ACCOGLIENZA PER DONNE CON FIGLI A ELEVATO RISCHIO PSICO-SOCIALE                 40070183</t>
  </si>
  <si>
    <t>Cognome</t>
  </si>
  <si>
    <t>Nome</t>
  </si>
  <si>
    <t>Contributo per affido</t>
  </si>
  <si>
    <t>Tanzania</t>
  </si>
  <si>
    <t>Italia/Polinesia</t>
  </si>
  <si>
    <t>Cuba cit. Ita</t>
  </si>
  <si>
    <t>figlia</t>
  </si>
  <si>
    <t>Il Servizio Famiglie Accoglienti è una forma di sostegno a favore di famiglie che accolgono minori.</t>
  </si>
  <si>
    <t>TOTALE MONTE SAN PIETRO</t>
  </si>
  <si>
    <t>TOTALE SASSO MARCONI</t>
  </si>
  <si>
    <t>Serbia</t>
  </si>
  <si>
    <t>Romania</t>
  </si>
  <si>
    <t>Spagna</t>
  </si>
  <si>
    <t xml:space="preserve"> </t>
  </si>
  <si>
    <t>Pacchetto superiori</t>
  </si>
  <si>
    <t>CONSULENZA LEGALE                                                                                                                                                                     40071123</t>
  </si>
  <si>
    <t>Presenze avvocata</t>
  </si>
  <si>
    <t xml:space="preserve">Colloqui </t>
  </si>
  <si>
    <t xml:space="preserve">Nome </t>
  </si>
  <si>
    <t>madre</t>
  </si>
  <si>
    <t>Tunisia citt. Ita</t>
  </si>
  <si>
    <t>Italia/Etiopia</t>
  </si>
  <si>
    <t>Marocco/Italia</t>
  </si>
  <si>
    <t>ITCS Belluzzi</t>
  </si>
  <si>
    <t xml:space="preserve">ACCOMPAGNAMENTO SCOLASTICO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</si>
  <si>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Fornitore</t>
  </si>
  <si>
    <t>Libertas/Sol.co</t>
  </si>
  <si>
    <t>TRASPORTO MINORI</t>
  </si>
  <si>
    <t>Pacchetto medie Borgonuovo</t>
  </si>
  <si>
    <t>Pacchetto elementari</t>
  </si>
  <si>
    <t>FUORI DISTRETTO</t>
  </si>
  <si>
    <t>Russia</t>
  </si>
  <si>
    <t>MEDIAZIONE INTERCULTURALE</t>
  </si>
  <si>
    <t>BUONI SPESA                                                                                                                                                                                                                                                                                                                    40071156</t>
  </si>
  <si>
    <t>Libertas</t>
  </si>
  <si>
    <t>Per Pronto Intervento Sociale (PRIS) si intendono tutti quegli interventi d'urgenza in situazioni di particolare gravità che si presentano al di fuori degli orari di apertura dei Servizi (minori e/o donne vittime di maltrattamenti e/o di abbandono, nuclei in grave e improvvisa difficoltà).</t>
  </si>
  <si>
    <t>Serbia e Montenegro cit. Ita</t>
  </si>
  <si>
    <t>n.p.</t>
  </si>
  <si>
    <t>Pacchetto elementari Bazzano</t>
  </si>
  <si>
    <t>Pacchetto elementari Viganò</t>
  </si>
  <si>
    <t>Pacchetto Maria Ausiliatrice</t>
  </si>
  <si>
    <t>Pacchetto medie Moruzzi</t>
  </si>
  <si>
    <t>Italia/Germania</t>
  </si>
  <si>
    <t>Regno Unito/Italia</t>
  </si>
  <si>
    <t xml:space="preserve">Istituto </t>
  </si>
  <si>
    <t>Costo orario lordo</t>
  </si>
  <si>
    <t xml:space="preserve">Totale ore </t>
  </si>
  <si>
    <t xml:space="preserve">Totale </t>
  </si>
  <si>
    <t xml:space="preserve">Periodo </t>
  </si>
  <si>
    <t xml:space="preserve">Istituto Comprensivo </t>
  </si>
  <si>
    <t>UISP</t>
  </si>
  <si>
    <t>Costo per ASC            € 9,792</t>
  </si>
  <si>
    <t>Algeria</t>
  </si>
  <si>
    <t>Marocco cit. Ita</t>
  </si>
  <si>
    <t>Provvedimenti dell'Autorità Giudiziaria (Vigilanza, Affido al Servizio, Tutela)</t>
  </si>
  <si>
    <t>Per insegnamento della lingua italiana si intendono gli incarichi, affidati a esperte del settore, per rinforzare l'apprendimento di alunni/e di origine non italiana. Gli interventi hanno l'obiettivo di supportare lo studio e di favorire l'integrazione scolastica e sociale.</t>
  </si>
  <si>
    <t>La casa sul filo</t>
  </si>
  <si>
    <t>Prevenzione del disagio (interventi educativi individuali)</t>
  </si>
  <si>
    <t>Prevenzione del disagio (interventi socio-educativi di gruppo)</t>
  </si>
  <si>
    <t>Insegnamento lingua italiana</t>
  </si>
  <si>
    <t>Il Servizio Affido è una forma di sostegno rivolta alle famiglie affidatarie.</t>
  </si>
  <si>
    <t>Progetto AAA (Adozione Affido Accoglienza)</t>
  </si>
  <si>
    <t>Tunisia citt Ita</t>
  </si>
  <si>
    <t>Rep. Ceca</t>
  </si>
  <si>
    <t>Costa d'Avorio</t>
  </si>
  <si>
    <t>Cuba (madre)</t>
  </si>
  <si>
    <t>Argentina cit.Ita</t>
  </si>
  <si>
    <t>Associazione Girotondo: per i nominativi fare riferimento alla scheda Esoneri</t>
  </si>
  <si>
    <t>Borgo solidale San Francesco è un complesso residenziale composto da diversi appartamenti. E' una risposta immediata alle situazioni di emergenza di persone e nuclei familiari in difficoltà socio-economica e/o abitativa. Al momento sono attivi due appartamenti destinati all'accoglienza di quattro nuclei madre-figli/e (due nuclei per ogni appartamento), due appartamenti destinati a nuclei familiari e un appartamento destinato a quattro adulti maschi.</t>
  </si>
  <si>
    <t>SERVIZIO AFFIDO</t>
  </si>
  <si>
    <t xml:space="preserve">SERVIZIO FAMIGLIE ACCOGLIENTI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</si>
  <si>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BORSE LAVORO                                                                                                                                                                                                       </t>
  </si>
  <si>
    <t>Gli incontri protetti sono colloqui tra genitori e figli/e, alla presenza di un educatore professionale, finalizzati a favorire la relazione genitoriale-filiale e a garantire ai/alle bambini/e un'interazione protetta e tutelata.</t>
  </si>
  <si>
    <t>Il progetto Borgo Solidale San Francesco ha avuto un costo complessivo nel 2012 di € 93.706,08</t>
  </si>
  <si>
    <t>Rep.Dominicana</t>
  </si>
  <si>
    <t>Borse Lavoro adulti con minori</t>
  </si>
  <si>
    <t>Trasporto minori</t>
  </si>
  <si>
    <t>adulto singolo</t>
  </si>
  <si>
    <t>Numero pratica</t>
  </si>
  <si>
    <t>L'adozione è un provvedimento definitivo disposto dal Tribunale in favore di minori in stato di abbandono e privi di assistenza morale e materiale. L’affido consiste nell'accoglienza temporanea di minori presso una famiglia diversa dalla propria, nei casi in cui i genitori attraversino una situazione di difficoltà e non siano in grado di prendersi cura di loro in modo adeguato. L'accoglienza è una forma di solidarietà nei confronti di famiglie che, per diversi motivi, non riescono a far fronte agli impegni quotidiani, educativi e di accudimento, dei figli/e. AAA è un progetto che ha l'obiettivo di lavorare in modo integrato sui tre ambiti dell'adozione, dell'affido e dell'accoglienza al fine di prevenire i fallimenti adottivi, di limitare lo sradicamento dal proprio ambiente di vita e gli inserimenti in struttura.</t>
  </si>
  <si>
    <t>Buoni per spese alimentari e di prima necessità, a sostegno del reddito di nuclei con minori in situazione di disagio socio-economico. I buoni sono spendibili presso esercizi commerciali convenzionati.</t>
  </si>
  <si>
    <t xml:space="preserve">Per educazione al lavoro si intendono una serie di interventi volti a favorire il pieno sviluppo della personalità degli/delle adolescenti e dei/delle giovani sul piano culturale, sociale ed economico, anche attraverso il coinvolgimento delle loro famiglie in un progetto educativo mirato e condiviso. </t>
  </si>
  <si>
    <t>La mediazione interculturale è un intervento a favore di minori di origine non italiana che ha l'obiettivo di facilitare il dialogo tra Scuola, Servizi e famiglie. Si tratta di interventi di mediatrici/tori occasionali per tutte le aree linguistico-culturali, fatta eccezione per quelle araba e russa, romena, moldava per le quali sono attive le mediatrici di ASC InSieme.</t>
  </si>
  <si>
    <t xml:space="preserve">I mediatori scolastici sono giovani diplomati/e o studenti universitari/e con funzioni di tutor amicale a favore di studenti con disabililtà frequentanti le Scuole Secondarie di secondo grado. Il progetto di tutor amicale è presentato dalle scuole alle quali afferiscono gli/le studenti del territorio e corrisponde a un contributo in denaro a sostegno dell'attività. </t>
  </si>
  <si>
    <t xml:space="preserve">Interventi a sostegno dell'attività scolastica di minori disabili che comprendono tutte le azioni relative alla cura, all'igiene personale e all'assistenza durante i pasti. </t>
  </si>
  <si>
    <t>Composizione                 nucleo</t>
  </si>
  <si>
    <t>figlio</t>
  </si>
  <si>
    <t>padre</t>
  </si>
  <si>
    <t>Albania/Romania</t>
  </si>
  <si>
    <t>maggiorenne</t>
  </si>
  <si>
    <t xml:space="preserve">Italia </t>
  </si>
  <si>
    <t>Albania/Italia</t>
  </si>
  <si>
    <t>Guinea</t>
  </si>
  <si>
    <t>INSEGNAMENTO LINGUA ITALIANA</t>
  </si>
  <si>
    <t>GITE DISABILI</t>
  </si>
  <si>
    <t>Tunisia</t>
  </si>
  <si>
    <t>Centro specialistico Il Faro</t>
  </si>
  <si>
    <t xml:space="preserve">Casa di accoglienza per donne con figli a elevato rischio psico-sociale </t>
  </si>
  <si>
    <t>Esoneri pagamento rette diverse</t>
  </si>
  <si>
    <t>Pulmino periodo estivo</t>
  </si>
  <si>
    <t>Tunisia/Marocco cit. Ita</t>
  </si>
  <si>
    <t>LA CASA SUL FILO                                                                                                                                              40071123</t>
  </si>
  <si>
    <r>
      <t>La casa sul filo è un programma di prevenzione della violenza intrafamiliare sviluppato attorno all'omonimo cd rom, uno strumento multimediale e interattivo per l'educazione alla differenza e alla relazione tra i generi. L'offerta è quella di attività di sensibilizzazione e di formazione per le Scuole Secondarie di secondo grado frequentate dai/dalle giovani territorio distrettuale.</t>
    </r>
    <r>
      <rPr>
        <b/>
        <sz val="12"/>
        <rFont val="Helvetica"/>
        <family val="0"/>
      </rPr>
      <t xml:space="preserve"> </t>
    </r>
  </si>
  <si>
    <t xml:space="preserve">Scuola </t>
  </si>
  <si>
    <t>Incontri</t>
  </si>
  <si>
    <t xml:space="preserve">Ore </t>
  </si>
  <si>
    <t>Spesa complessiva</t>
  </si>
  <si>
    <t xml:space="preserve">Istituto Salvemini Casalecchio di Reno </t>
  </si>
  <si>
    <t>Liceo Leonardo Da Vinci Casalecchio di Reno</t>
  </si>
  <si>
    <t>Ferrari Valentina</t>
  </si>
  <si>
    <t>Sconto fratelli</t>
  </si>
  <si>
    <t>Tunisia cit.Italia/Tunisia</t>
  </si>
  <si>
    <t>AUSL Asolo</t>
  </si>
  <si>
    <t>DISTRETTO  (EMERGENZA MINORI PROFUGHI - CONTO 40071129)</t>
  </si>
  <si>
    <t>Borse Lavoro minori</t>
  </si>
  <si>
    <t>Rep. Domenicana</t>
  </si>
  <si>
    <t>PREVENZIONE DEL DISAGIO (INTERVENTI EDUCATIVI INDIVIDUALI)</t>
  </si>
  <si>
    <t>PREVENZIONE DEL DISAGIO (INTERVENTI SOCIO-EDUCATIVI DI GRUPPO)</t>
  </si>
  <si>
    <t>Cina</t>
  </si>
  <si>
    <t>irreperibile/Italia</t>
  </si>
  <si>
    <t>adulta</t>
  </si>
  <si>
    <t xml:space="preserve">Coordinamento </t>
  </si>
  <si>
    <t xml:space="preserve">Direzione Didattica  </t>
  </si>
  <si>
    <t>Associazione Passo Passo</t>
  </si>
  <si>
    <t>Vietnam</t>
  </si>
  <si>
    <t xml:space="preserve">Per educativa scolastica si intendono gli interventi educativi a sostegno dell'attività scolastica rivolti a minori con disabilità e/o disagio. Gli interventi sono previsti per tutti gli ordini di Scuola (Nido, Infanzia, Primaria e Secondaria).  </t>
  </si>
  <si>
    <t>Servizio pronta accoglienza</t>
  </si>
  <si>
    <t>minore</t>
  </si>
  <si>
    <t>Croazia</t>
  </si>
  <si>
    <t>PROVVEDIMENTI DELL'AUTORITA' GIUDIZIARIA (VIGILANZA, AFFIDO AL SERVIZIO, TUTELA)</t>
  </si>
  <si>
    <t>Educativa di strada</t>
  </si>
  <si>
    <t>EDUCATIVA DI STRADA</t>
  </si>
  <si>
    <t>Educazione al lavoro</t>
  </si>
  <si>
    <t>Gruppo socio-educativo</t>
  </si>
  <si>
    <t>Pasquini Roberta</t>
  </si>
  <si>
    <t>Olavide De La Torre Irene</t>
  </si>
  <si>
    <t>TOTALE DISTRETTO</t>
  </si>
  <si>
    <t xml:space="preserve">Mediatore rumeno - visita domiciliare </t>
  </si>
  <si>
    <t>Mediatore arabo - caso famiglia Yasser - incontro con avvocato</t>
  </si>
  <si>
    <t>Mediatore francese/inglese - c/o Scuola Media Crespellano</t>
  </si>
  <si>
    <t>Mediatore francese/inglese - c/o Comune Crespellano</t>
  </si>
  <si>
    <t>Mediatore francese/inglese - c/o Comune Monteveglio</t>
  </si>
  <si>
    <t>Mediatore cinese -  c/o Comune Monteveglio</t>
  </si>
  <si>
    <t>Mediatore del Bangladesh - c/o Comune di Sasso Marconi</t>
  </si>
  <si>
    <t>Mediatore inglese - incontro con ass. sociale e fam. Ghanese</t>
  </si>
  <si>
    <t>India</t>
  </si>
  <si>
    <t>TOTALE CRESPELLANO</t>
  </si>
  <si>
    <t>Ore di intervento</t>
  </si>
  <si>
    <t xml:space="preserve">EDUCAZIONE AL LAVORO </t>
  </si>
  <si>
    <t>Pacchetto elementari Crespellano</t>
  </si>
  <si>
    <t>Pacchetto medie Calcara</t>
  </si>
  <si>
    <t>Pacchetto elementari Monteveglio</t>
  </si>
  <si>
    <t>Colloqui</t>
  </si>
  <si>
    <t xml:space="preserve">PROGETTO AAA (ADOZIONE AFFIDO ACCOGLIENZA)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</si>
  <si>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Iran-Italia</t>
  </si>
  <si>
    <t>Marocco/Polonia</t>
  </si>
  <si>
    <t>Afghanistan</t>
  </si>
  <si>
    <t>Capo Verde</t>
  </si>
  <si>
    <t>Tutela</t>
  </si>
  <si>
    <t>Curatela</t>
  </si>
  <si>
    <t>Affido</t>
  </si>
  <si>
    <t>Affido limitato</t>
  </si>
  <si>
    <t>Vigilanza</t>
  </si>
  <si>
    <t>Egitto</t>
  </si>
  <si>
    <t>Kosovo</t>
  </si>
  <si>
    <t>Bangladesh</t>
  </si>
  <si>
    <t>Senegal</t>
  </si>
  <si>
    <t>Italia/Svizzera</t>
  </si>
  <si>
    <t>Filippine</t>
  </si>
  <si>
    <t>Italia/Albania</t>
  </si>
  <si>
    <t>Italia/Slovenia</t>
  </si>
  <si>
    <t>Marocco cit. Ita/Italia</t>
  </si>
  <si>
    <t>Costo interventi sett-dic 2012</t>
  </si>
  <si>
    <t>Cuba</t>
  </si>
  <si>
    <t>Italia/Cuba</t>
  </si>
  <si>
    <t>Italia/Romania</t>
  </si>
  <si>
    <t>Disagio                        40070172</t>
  </si>
  <si>
    <t>Emergenza abitativa 40070169</t>
  </si>
  <si>
    <t xml:space="preserve">RETTE RESIDENZIALI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</si>
  <si>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40070169-40070172</t>
  </si>
  <si>
    <t>Kenia</t>
  </si>
  <si>
    <t>MONTE ZOLA PREDOSA</t>
  </si>
  <si>
    <t>Ore di intervento       sett -dic 2012</t>
  </si>
  <si>
    <t xml:space="preserve">Nota di accredito 2011 </t>
  </si>
  <si>
    <t>Nota di accredito 2011</t>
  </si>
  <si>
    <t>Pacchetto elementari Calderino</t>
  </si>
  <si>
    <t>Pacchetto medie Calderino</t>
  </si>
  <si>
    <t>Spese varie</t>
  </si>
  <si>
    <t xml:space="preserve">CENTRO PER LE FAMIGLIE                                                                                                  </t>
  </si>
  <si>
    <t>Il Centro per le Famiglie è un Servizio rivolto alle famiglie con figlie/i da zero a diciotto anni che si propone di sostenere i genitori nei compiti di cura e educativi, di favorire l'incontro e il mutuo aiuto tra famiglie, di promuovere progetti rivolti al benessere delle famiglie in collaborazione con Enti, Istituzioni, Associazioni e singoli cittadini/e.</t>
  </si>
  <si>
    <t>INFORMAFAMIGLIE</t>
  </si>
  <si>
    <t>1° semestre</t>
  </si>
  <si>
    <t>Accessi             diretti</t>
  </si>
  <si>
    <t>Accessi telefonici</t>
  </si>
  <si>
    <t>Mail</t>
  </si>
  <si>
    <t>SPORTELLO INFORMATIVO SUL TERRITORIO</t>
  </si>
  <si>
    <t>CONSULENZA DI COPPIA</t>
  </si>
  <si>
    <t>MEDIAZIONE FAMILIARE</t>
  </si>
  <si>
    <t>GRUPPO GENITORI SEPARATI</t>
  </si>
  <si>
    <t>PERCORSO NASCITA PER COPPIE</t>
  </si>
  <si>
    <t>GRUPPO SPERANZA</t>
  </si>
  <si>
    <t>SPORTELLO CONSULENZA LEGALE</t>
  </si>
  <si>
    <t>PERCORSI GENITORI</t>
  </si>
  <si>
    <t xml:space="preserve">ASSEGNO MATERNITÀ </t>
  </si>
  <si>
    <t>ASSEGNO DI NUCLEO FAMILIARE</t>
  </si>
  <si>
    <t>LISTA BABY SITTER</t>
  </si>
  <si>
    <t>COLLOQUI ORIENTAMENTO</t>
  </si>
  <si>
    <t>TOTALE 1° semestre</t>
  </si>
  <si>
    <t>2° semestre</t>
  </si>
  <si>
    <t>SPORTELLO PEDAGOGICO/EDUCATIVO</t>
  </si>
  <si>
    <t xml:space="preserve">SPORTELLO PSICOLOGICO 0/6 </t>
  </si>
  <si>
    <t>MATERNITÀ</t>
  </si>
  <si>
    <t>GRUPPO ADOLESCENTI</t>
  </si>
  <si>
    <t>TOTALE 2° semestre</t>
  </si>
  <si>
    <t>CONSULENZA FAMILIARE E DI COPPIA</t>
  </si>
  <si>
    <t>Dott. Gianluca Calvo (periodo gen-dic 2012 - € 9.367,68)</t>
  </si>
  <si>
    <t xml:space="preserve">Italiani </t>
  </si>
  <si>
    <t xml:space="preserve">TOTALE </t>
  </si>
  <si>
    <t>COLLOQUI DI ORIENTAMENTO AI SERVIZI PER LE FAMIGLIE</t>
  </si>
  <si>
    <t>Dott.ssa Valeria Magri (risorsa interna)</t>
  </si>
  <si>
    <t>CONSULENZA PEDAGOGICA/EDUCATIVA (solo novembre e dicembre 2012)</t>
  </si>
  <si>
    <t>CONSULENZA PSICOLOGICA 0/6</t>
  </si>
  <si>
    <t>Dott.Dal Pozzo - solo Comune di Casalecchio (53 ore per un totale di € 7.066,49)</t>
  </si>
  <si>
    <t xml:space="preserve">ASSEGNO DI MATERNITA' </t>
  </si>
  <si>
    <t>Accettate</t>
  </si>
  <si>
    <t>Negate</t>
  </si>
  <si>
    <t>Sospese</t>
  </si>
  <si>
    <t>ASSEGNO NUCLEO FAMILIARE</t>
  </si>
  <si>
    <t>CONSULENZA LEGALE</t>
  </si>
  <si>
    <t>Avvocata Claudia Landi (incarico CEDIM periodo gen-dic 2012 - € 2.840,00)</t>
  </si>
  <si>
    <t>Dott.ssa Stefania Sordelli (incarico CEDIM periodo gen-dic 2012 - € 9.328,00)</t>
  </si>
  <si>
    <t>Sono stati fatti alcuni colloqui anche ad utenti fuori Distretto</t>
  </si>
  <si>
    <t>Dott.ssa Tordi (incarico CEDIM compreso in quota Sordelli Stefania)</t>
  </si>
  <si>
    <t>GRUPPO "ANCORA GENITORI"</t>
  </si>
  <si>
    <t>Dott.ssa Patrizia Aprile (incarico CEDIM periodo gen-dic 2012 - € 672,00)</t>
  </si>
  <si>
    <t>Al gruppo hanno partecipato anche utenti fuori Distretto</t>
  </si>
  <si>
    <t>Incontri gruppo</t>
  </si>
  <si>
    <t>CORSI PER GENITORI</t>
  </si>
  <si>
    <t>LA CUCINA DELLE STORIE</t>
  </si>
  <si>
    <t xml:space="preserve"> Al gruppo hanno partecipato anche utenti fuori Distretto</t>
  </si>
  <si>
    <t>CASALECCHIO</t>
  </si>
  <si>
    <t>IL PADRE: NUOVI PERCORSI DI CONSAPEVOLEZZA</t>
  </si>
  <si>
    <t>Dott.Antonio Piccinni (incarico per un importo complessivo pari a € 1.275,00)</t>
  </si>
  <si>
    <t>CASTELLO DI SERRRAVALLE</t>
  </si>
  <si>
    <t>TOTALE CASTELLO DI SERRRAVALLE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</si>
</sst>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_-* #,##0.00_-;\-* #,##0.00_-;_-* &quot;-&quot;_-;_-@_-"/>
    <numFmt numFmtId="167" formatCode="_-* #,##0_-;\-* #,##0_-;_-* &quot;-&quot;??_-;_-@_-"/>
    <numFmt numFmtId="168" formatCode="_-* #,##0.0_-;\-* #,##0.0_-;_-* &quot;-&quot;_-;_-@_-"/>
    <numFmt numFmtId="169" formatCode="_(* #,##0_);_(* \(#,##0\);_(* &quot;-&quot;_);_(@_)"/>
    <numFmt numFmtId="170" formatCode="\ #,##0.00;\-\ #,##0.00"/>
    <numFmt numFmtId="171" formatCode="hh:mm:ss"/>
    <numFmt numFmtId="172" formatCode="\€* #,##0.00"/>
    <numFmt numFmtId="173" formatCode="[$€-2]\ #,##0.00"/>
    <numFmt numFmtId="174" formatCode="#,##0.00_ ;\-#,##0.00\ "/>
    <numFmt numFmtId="175" formatCode="_-[$€-2]\ * #,##0.00_-;\-[$€-2]\ * #,##0.00_-;_-[$€-2]\ * &quot;-&quot;??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€&quot;\ #,##0"/>
    <numFmt numFmtId="181" formatCode="_-&quot;L.&quot;\ * #,##0.00_-;\-&quot;L.&quot;\ * #,##0.00_-;_-&quot;L.&quot;\ * &quot;-&quot;??_-;_-@_-"/>
    <numFmt numFmtId="182" formatCode="_-&quot;L.&quot;\ * #,##0_-;\-&quot;L.&quot;\ * #,##0_-;_-&quot;L.&quot;\ * &quot;-&quot;_-;_-@_-"/>
    <numFmt numFmtId="183" formatCode="0.000"/>
    <numFmt numFmtId="184" formatCode="0.0"/>
    <numFmt numFmtId="185" formatCode="#,##0.000"/>
    <numFmt numFmtId="186" formatCode="dd/mm/yy"/>
    <numFmt numFmtId="187" formatCode="0.0000"/>
    <numFmt numFmtId="188" formatCode="&quot;€&quot;\ #,##0.000"/>
    <numFmt numFmtId="189" formatCode="&quot;€&quot;#,##0.00;[Red]&quot;€&quot;#,##0.00"/>
    <numFmt numFmtId="190" formatCode="[$-410]d\-mmm;@"/>
    <numFmt numFmtId="191" formatCode="dd/mm/yy;@"/>
    <numFmt numFmtId="192" formatCode="[$-410]d\-mmm\-yy;@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2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b/>
      <sz val="12"/>
      <name val="Helvetica"/>
      <family val="0"/>
    </font>
    <font>
      <sz val="16"/>
      <name val="Helvetica"/>
      <family val="0"/>
    </font>
    <font>
      <sz val="14"/>
      <name val="HELVETICA"/>
      <family val="0"/>
    </font>
    <font>
      <sz val="12"/>
      <name val="Helvetica"/>
      <family val="0"/>
    </font>
    <font>
      <sz val="10"/>
      <name val="Helvetica"/>
      <family val="0"/>
    </font>
    <font>
      <b/>
      <sz val="8"/>
      <name val="Helvetica"/>
      <family val="0"/>
    </font>
    <font>
      <b/>
      <sz val="10"/>
      <name val="Helvetica"/>
      <family val="0"/>
    </font>
    <font>
      <sz val="8"/>
      <name val="Helvetica"/>
      <family val="0"/>
    </font>
    <font>
      <sz val="10"/>
      <name val="Helv"/>
      <family val="0"/>
    </font>
    <font>
      <sz val="12"/>
      <name val="Helv"/>
      <family val="0"/>
    </font>
    <font>
      <sz val="26"/>
      <name val="Helvetica"/>
      <family val="0"/>
    </font>
    <font>
      <b/>
      <sz val="10"/>
      <color indexed="60"/>
      <name val="Helvetica"/>
      <family val="0"/>
    </font>
    <font>
      <sz val="10"/>
      <color indexed="12"/>
      <name val="Helvetica"/>
      <family val="0"/>
    </font>
    <font>
      <sz val="10"/>
      <color indexed="60"/>
      <name val="Helvetica"/>
      <family val="0"/>
    </font>
    <font>
      <b/>
      <sz val="12"/>
      <color indexed="60"/>
      <name val="Helvetica"/>
      <family val="0"/>
    </font>
    <font>
      <sz val="10"/>
      <color indexed="10"/>
      <name val="Arial"/>
      <family val="2"/>
    </font>
    <font>
      <sz val="10"/>
      <color indexed="10"/>
      <name val="Helvetica"/>
      <family val="0"/>
    </font>
    <font>
      <sz val="10"/>
      <color indexed="53"/>
      <name val="Helvetica"/>
      <family val="0"/>
    </font>
    <font>
      <b/>
      <sz val="12"/>
      <color indexed="10"/>
      <name val="Arial"/>
      <family val="2"/>
    </font>
    <font>
      <sz val="12"/>
      <color indexed="56"/>
      <name val="Helvetica"/>
      <family val="2"/>
    </font>
    <font>
      <sz val="10"/>
      <color indexed="56"/>
      <name val="Helvetica"/>
      <family val="2"/>
    </font>
    <font>
      <sz val="16"/>
      <name val="Arial"/>
      <family val="2"/>
    </font>
    <font>
      <sz val="14"/>
      <name val="Helvetica"/>
      <family val="2"/>
    </font>
    <font>
      <b/>
      <sz val="10"/>
      <color indexed="49"/>
      <name val="Helvetica"/>
      <family val="0"/>
    </font>
    <font>
      <sz val="10"/>
      <color indexed="49"/>
      <name val="Helvetica"/>
      <family val="0"/>
    </font>
    <font>
      <b/>
      <sz val="10"/>
      <color indexed="49"/>
      <name val="Arial"/>
      <family val="2"/>
    </font>
    <font>
      <sz val="9"/>
      <name val="Helvetica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gray0625">
        <bgColor indexed="41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center"/>
    </xf>
    <xf numFmtId="164" fontId="31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164" fontId="30" fillId="24" borderId="13" xfId="0" applyNumberFormat="1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3" fillId="26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2" fontId="31" fillId="26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0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top" wrapText="1"/>
    </xf>
    <xf numFmtId="183" fontId="31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right"/>
    </xf>
    <xf numFmtId="0" fontId="37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183" fontId="31" fillId="0" borderId="0" xfId="0" applyNumberFormat="1" applyFont="1" applyAlignment="1">
      <alignment horizontal="center" vertical="center"/>
    </xf>
    <xf numFmtId="0" fontId="27" fillId="25" borderId="11" xfId="0" applyFont="1" applyFill="1" applyBorder="1" applyAlignment="1">
      <alignment horizontal="center" vertical="center"/>
    </xf>
    <xf numFmtId="183" fontId="33" fillId="24" borderId="10" xfId="0" applyNumberFormat="1" applyFont="1" applyFill="1" applyBorder="1" applyAlignment="1">
      <alignment horizontal="center" vertical="center"/>
    </xf>
    <xf numFmtId="164" fontId="33" fillId="24" borderId="10" xfId="0" applyNumberFormat="1" applyFont="1" applyFill="1" applyBorder="1" applyAlignment="1">
      <alignment horizontal="center" vertical="center"/>
    </xf>
    <xf numFmtId="164" fontId="33" fillId="24" borderId="18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2" fontId="33" fillId="0" borderId="0" xfId="0" applyNumberFormat="1" applyFont="1" applyAlignment="1">
      <alignment vertical="center"/>
    </xf>
    <xf numFmtId="0" fontId="39" fillId="0" borderId="0" xfId="0" applyFont="1" applyFill="1" applyAlignment="1">
      <alignment vertical="center"/>
    </xf>
    <xf numFmtId="0" fontId="31" fillId="0" borderId="0" xfId="0" applyFont="1" applyBorder="1" applyAlignment="1">
      <alignment vertical="center"/>
    </xf>
    <xf numFmtId="164" fontId="22" fillId="24" borderId="10" xfId="0" applyNumberFormat="1" applyFont="1" applyFill="1" applyBorder="1" applyAlignment="1">
      <alignment horizontal="center" vertical="top" wrapText="1"/>
    </xf>
    <xf numFmtId="164" fontId="30" fillId="24" borderId="10" xfId="0" applyNumberFormat="1" applyFont="1" applyFill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center"/>
    </xf>
    <xf numFmtId="44" fontId="31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/>
    </xf>
    <xf numFmtId="0" fontId="31" fillId="24" borderId="10" xfId="0" applyFont="1" applyFill="1" applyBorder="1" applyAlignment="1">
      <alignment horizontal="center" vertical="center"/>
    </xf>
    <xf numFmtId="164" fontId="31" fillId="24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 wrapText="1"/>
    </xf>
    <xf numFmtId="1" fontId="31" fillId="0" borderId="10" xfId="0" applyNumberFormat="1" applyFont="1" applyFill="1" applyBorder="1" applyAlignment="1">
      <alignment horizontal="center" vertical="top" wrapText="1"/>
    </xf>
    <xf numFmtId="164" fontId="31" fillId="0" borderId="10" xfId="0" applyNumberFormat="1" applyFont="1" applyFill="1" applyBorder="1" applyAlignment="1">
      <alignment vertical="center"/>
    </xf>
    <xf numFmtId="1" fontId="31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>
      <alignment vertical="center"/>
    </xf>
    <xf numFmtId="0" fontId="31" fillId="0" borderId="0" xfId="0" applyFont="1" applyFill="1" applyAlignment="1">
      <alignment vertical="center"/>
    </xf>
    <xf numFmtId="1" fontId="31" fillId="0" borderId="0" xfId="0" applyNumberFormat="1" applyFont="1" applyAlignment="1">
      <alignment horizontal="center" vertical="center"/>
    </xf>
    <xf numFmtId="164" fontId="31" fillId="0" borderId="0" xfId="0" applyNumberFormat="1" applyFont="1" applyAlignment="1">
      <alignment vertical="center"/>
    </xf>
    <xf numFmtId="0" fontId="30" fillId="26" borderId="10" xfId="0" applyFont="1" applyFill="1" applyBorder="1" applyAlignment="1">
      <alignment horizontal="center" vertical="top" wrapText="1"/>
    </xf>
    <xf numFmtId="1" fontId="30" fillId="24" borderId="10" xfId="0" applyNumberFormat="1" applyFont="1" applyFill="1" applyBorder="1" applyAlignment="1">
      <alignment horizontal="center" vertical="top" wrapText="1"/>
    </xf>
    <xf numFmtId="2" fontId="30" fillId="26" borderId="11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top" wrapText="1"/>
    </xf>
    <xf numFmtId="164" fontId="0" fillId="24" borderId="10" xfId="0" applyNumberFormat="1" applyFont="1" applyFill="1" applyBorder="1" applyAlignment="1">
      <alignment horizontal="center" vertical="center"/>
    </xf>
    <xf numFmtId="0" fontId="31" fillId="0" borderId="18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164" fontId="31" fillId="0" borderId="0" xfId="0" applyNumberFormat="1" applyFont="1" applyAlignment="1">
      <alignment horizontal="left" vertical="center"/>
    </xf>
    <xf numFmtId="0" fontId="30" fillId="24" borderId="13" xfId="0" applyNumberFormat="1" applyFont="1" applyFill="1" applyBorder="1" applyAlignment="1">
      <alignment horizontal="center" vertical="top" wrapText="1"/>
    </xf>
    <xf numFmtId="0" fontId="33" fillId="24" borderId="18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top" wrapText="1"/>
    </xf>
    <xf numFmtId="1" fontId="31" fillId="0" borderId="19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left" vertical="center"/>
    </xf>
    <xf numFmtId="0" fontId="27" fillId="26" borderId="10" xfId="0" applyFont="1" applyFill="1" applyBorder="1" applyAlignment="1">
      <alignment vertical="center"/>
    </xf>
    <xf numFmtId="0" fontId="27" fillId="26" borderId="10" xfId="0" applyFont="1" applyFill="1" applyBorder="1" applyAlignment="1">
      <alignment horizontal="center" vertical="center"/>
    </xf>
    <xf numFmtId="1" fontId="27" fillId="26" borderId="10" xfId="0" applyNumberFormat="1" applyFont="1" applyFill="1" applyBorder="1" applyAlignment="1">
      <alignment horizontal="center" vertical="center"/>
    </xf>
    <xf numFmtId="164" fontId="27" fillId="26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vertical="center"/>
    </xf>
    <xf numFmtId="0" fontId="30" fillId="26" borderId="10" xfId="0" applyFont="1" applyFill="1" applyBorder="1" applyAlignment="1">
      <alignment horizontal="center" vertical="center"/>
    </xf>
    <xf numFmtId="0" fontId="30" fillId="26" borderId="10" xfId="0" applyNumberFormat="1" applyFont="1" applyFill="1" applyBorder="1" applyAlignment="1">
      <alignment horizontal="center" vertical="center"/>
    </xf>
    <xf numFmtId="2" fontId="30" fillId="26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7" fillId="26" borderId="10" xfId="0" applyFont="1" applyFill="1" applyBorder="1" applyAlignment="1">
      <alignment horizontal="center"/>
    </xf>
    <xf numFmtId="0" fontId="30" fillId="26" borderId="10" xfId="0" applyFont="1" applyFill="1" applyBorder="1" applyAlignment="1">
      <alignment horizontal="center"/>
    </xf>
    <xf numFmtId="0" fontId="30" fillId="24" borderId="22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44" fontId="30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left" vertical="center" wrapText="1"/>
    </xf>
    <xf numFmtId="1" fontId="30" fillId="26" borderId="10" xfId="0" applyNumberFormat="1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center" vertical="center"/>
    </xf>
    <xf numFmtId="183" fontId="30" fillId="26" borderId="10" xfId="0" applyNumberFormat="1" applyFont="1" applyFill="1" applyBorder="1" applyAlignment="1">
      <alignment horizontal="center" vertical="center"/>
    </xf>
    <xf numFmtId="0" fontId="31" fillId="0" borderId="17" xfId="0" applyFont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2" fontId="27" fillId="26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/>
    </xf>
    <xf numFmtId="0" fontId="31" fillId="0" borderId="18" xfId="0" applyNumberFormat="1" applyFont="1" applyFill="1" applyBorder="1" applyAlignment="1">
      <alignment horizontal="center" vertical="center"/>
    </xf>
    <xf numFmtId="164" fontId="30" fillId="24" borderId="10" xfId="0" applyNumberFormat="1" applyFont="1" applyFill="1" applyBorder="1" applyAlignment="1">
      <alignment horizontal="center" vertical="center" wrapText="1"/>
    </xf>
    <xf numFmtId="1" fontId="25" fillId="26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4" fontId="0" fillId="0" borderId="0" xfId="0" applyNumberFormat="1" applyFont="1" applyFill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top" wrapText="1"/>
    </xf>
    <xf numFmtId="0" fontId="32" fillId="24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164" fontId="30" fillId="26" borderId="10" xfId="0" applyNumberFormat="1" applyFont="1" applyFill="1" applyBorder="1" applyAlignment="1">
      <alignment horizontal="right" vertical="top" wrapText="1"/>
    </xf>
    <xf numFmtId="164" fontId="31" fillId="0" borderId="10" xfId="0" applyNumberFormat="1" applyFont="1" applyFill="1" applyBorder="1" applyAlignment="1">
      <alignment horizontal="right" vertical="top" wrapText="1"/>
    </xf>
    <xf numFmtId="2" fontId="27" fillId="26" borderId="10" xfId="0" applyNumberFormat="1" applyFont="1" applyFill="1" applyBorder="1" applyAlignment="1">
      <alignment vertical="center"/>
    </xf>
    <xf numFmtId="164" fontId="31" fillId="0" borderId="10" xfId="0" applyNumberFormat="1" applyFont="1" applyFill="1" applyBorder="1" applyAlignment="1">
      <alignment horizontal="right" vertical="center"/>
    </xf>
    <xf numFmtId="164" fontId="31" fillId="0" borderId="14" xfId="0" applyNumberFormat="1" applyFont="1" applyFill="1" applyBorder="1" applyAlignment="1">
      <alignment horizontal="right" vertical="center"/>
    </xf>
    <xf numFmtId="164" fontId="31" fillId="26" borderId="10" xfId="0" applyNumberFormat="1" applyFont="1" applyFill="1" applyBorder="1" applyAlignment="1">
      <alignment horizontal="right" vertical="center"/>
    </xf>
    <xf numFmtId="2" fontId="30" fillId="26" borderId="10" xfId="0" applyNumberFormat="1" applyFont="1" applyFill="1" applyBorder="1" applyAlignment="1">
      <alignment vertical="center"/>
    </xf>
    <xf numFmtId="164" fontId="30" fillId="26" borderId="10" xfId="0" applyNumberFormat="1" applyFont="1" applyFill="1" applyBorder="1" applyAlignment="1">
      <alignment horizontal="right" vertical="center"/>
    </xf>
    <xf numFmtId="164" fontId="27" fillId="26" borderId="10" xfId="0" applyNumberFormat="1" applyFont="1" applyFill="1" applyBorder="1" applyAlignment="1">
      <alignment horizontal="right" vertical="center"/>
    </xf>
    <xf numFmtId="164" fontId="31" fillId="0" borderId="10" xfId="0" applyNumberFormat="1" applyFont="1" applyBorder="1" applyAlignment="1">
      <alignment horizontal="right" vertical="center"/>
    </xf>
    <xf numFmtId="164" fontId="31" fillId="0" borderId="18" xfId="0" applyNumberFormat="1" applyFont="1" applyBorder="1" applyAlignment="1">
      <alignment horizontal="right" vertical="center"/>
    </xf>
    <xf numFmtId="164" fontId="33" fillId="24" borderId="10" xfId="0" applyNumberFormat="1" applyFont="1" applyFill="1" applyBorder="1" applyAlignment="1">
      <alignment horizontal="right" vertical="center"/>
    </xf>
    <xf numFmtId="164" fontId="33" fillId="24" borderId="18" xfId="0" applyNumberFormat="1" applyFont="1" applyFill="1" applyBorder="1" applyAlignment="1">
      <alignment horizontal="right" vertical="center"/>
    </xf>
    <xf numFmtId="164" fontId="38" fillId="24" borderId="10" xfId="0" applyNumberFormat="1" applyFont="1" applyFill="1" applyBorder="1" applyAlignment="1">
      <alignment horizontal="right" vertical="center"/>
    </xf>
    <xf numFmtId="164" fontId="31" fillId="0" borderId="18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0" fontId="30" fillId="26" borderId="11" xfId="0" applyFont="1" applyFill="1" applyBorder="1" applyAlignment="1">
      <alignment horizontal="center" vertical="center"/>
    </xf>
    <xf numFmtId="0" fontId="31" fillId="26" borderId="11" xfId="0" applyFont="1" applyFill="1" applyBorder="1" applyAlignment="1">
      <alignment horizontal="center" vertical="center"/>
    </xf>
    <xf numFmtId="164" fontId="31" fillId="24" borderId="10" xfId="0" applyNumberFormat="1" applyFont="1" applyFill="1" applyBorder="1" applyAlignment="1">
      <alignment horizontal="right" vertical="top" wrapText="1"/>
    </xf>
    <xf numFmtId="2" fontId="27" fillId="0" borderId="0" xfId="0" applyNumberFormat="1" applyFont="1" applyAlignment="1">
      <alignment vertical="center"/>
    </xf>
    <xf numFmtId="0" fontId="30" fillId="0" borderId="0" xfId="0" applyFont="1" applyBorder="1" applyAlignment="1">
      <alignment vertical="center"/>
    </xf>
    <xf numFmtId="164" fontId="30" fillId="26" borderId="10" xfId="0" applyNumberFormat="1" applyFont="1" applyFill="1" applyBorder="1" applyAlignment="1">
      <alignment horizontal="right"/>
    </xf>
    <xf numFmtId="164" fontId="31" fillId="24" borderId="10" xfId="0" applyNumberFormat="1" applyFont="1" applyFill="1" applyBorder="1" applyAlignment="1">
      <alignment horizontal="right" vertical="center"/>
    </xf>
    <xf numFmtId="164" fontId="31" fillId="0" borderId="10" xfId="0" applyNumberFormat="1" applyFont="1" applyBorder="1" applyAlignment="1">
      <alignment horizontal="right"/>
    </xf>
    <xf numFmtId="164" fontId="31" fillId="0" borderId="19" xfId="0" applyNumberFormat="1" applyFont="1" applyFill="1" applyBorder="1" applyAlignment="1">
      <alignment horizontal="right" vertical="center"/>
    </xf>
    <xf numFmtId="164" fontId="31" fillId="0" borderId="14" xfId="0" applyNumberFormat="1" applyFont="1" applyBorder="1" applyAlignment="1">
      <alignment horizontal="right" vertical="center"/>
    </xf>
    <xf numFmtId="164" fontId="31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164" fontId="30" fillId="24" borderId="10" xfId="0" applyNumberFormat="1" applyFont="1" applyFill="1" applyBorder="1" applyAlignment="1">
      <alignment horizontal="right" vertical="center"/>
    </xf>
    <xf numFmtId="188" fontId="31" fillId="0" borderId="10" xfId="0" applyNumberFormat="1" applyFont="1" applyBorder="1" applyAlignment="1">
      <alignment horizontal="right" vertical="center"/>
    </xf>
    <xf numFmtId="188" fontId="31" fillId="0" borderId="10" xfId="0" applyNumberFormat="1" applyFont="1" applyFill="1" applyBorder="1" applyAlignment="1">
      <alignment horizontal="right" vertical="center"/>
    </xf>
    <xf numFmtId="0" fontId="40" fillId="24" borderId="10" xfId="0" applyFont="1" applyFill="1" applyBorder="1" applyAlignment="1">
      <alignment horizontal="right" vertical="center"/>
    </xf>
    <xf numFmtId="188" fontId="33" fillId="24" borderId="10" xfId="0" applyNumberFormat="1" applyFont="1" applyFill="1" applyBorder="1" applyAlignment="1">
      <alignment horizontal="right" vertical="center"/>
    </xf>
    <xf numFmtId="188" fontId="31" fillId="0" borderId="14" xfId="0" applyNumberFormat="1" applyFont="1" applyFill="1" applyBorder="1" applyAlignment="1">
      <alignment horizontal="right" vertical="center"/>
    </xf>
    <xf numFmtId="164" fontId="31" fillId="0" borderId="20" xfId="0" applyNumberFormat="1" applyFont="1" applyFill="1" applyBorder="1" applyAlignment="1">
      <alignment horizontal="right" vertical="center"/>
    </xf>
    <xf numFmtId="0" fontId="31" fillId="24" borderId="10" xfId="0" applyFont="1" applyFill="1" applyBorder="1" applyAlignment="1">
      <alignment horizontal="right" vertical="center"/>
    </xf>
    <xf numFmtId="4" fontId="31" fillId="0" borderId="10" xfId="0" applyNumberFormat="1" applyFont="1" applyBorder="1" applyAlignment="1">
      <alignment horizontal="center" vertical="center"/>
    </xf>
    <xf numFmtId="4" fontId="31" fillId="24" borderId="10" xfId="0" applyNumberFormat="1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4" xfId="0" applyNumberFormat="1" applyFont="1" applyFill="1" applyBorder="1" applyAlignment="1">
      <alignment horizontal="center" vertical="center"/>
    </xf>
    <xf numFmtId="4" fontId="27" fillId="26" borderId="10" xfId="0" applyNumberFormat="1" applyFont="1" applyFill="1" applyBorder="1" applyAlignment="1">
      <alignment horizontal="center" vertical="center"/>
    </xf>
    <xf numFmtId="185" fontId="31" fillId="0" borderId="10" xfId="0" applyNumberFormat="1" applyFont="1" applyBorder="1" applyAlignment="1">
      <alignment horizontal="right" vertical="center"/>
    </xf>
    <xf numFmtId="4" fontId="31" fillId="0" borderId="14" xfId="0" applyNumberFormat="1" applyFont="1" applyFill="1" applyBorder="1" applyAlignment="1">
      <alignment horizontal="center" vertical="top" wrapText="1"/>
    </xf>
    <xf numFmtId="164" fontId="30" fillId="26" borderId="18" xfId="0" applyNumberFormat="1" applyFont="1" applyFill="1" applyBorder="1" applyAlignment="1">
      <alignment horizontal="right" vertical="center"/>
    </xf>
    <xf numFmtId="183" fontId="27" fillId="26" borderId="10" xfId="0" applyNumberFormat="1" applyFont="1" applyFill="1" applyBorder="1" applyAlignment="1">
      <alignment horizontal="center" vertical="center"/>
    </xf>
    <xf numFmtId="2" fontId="30" fillId="26" borderId="16" xfId="0" applyNumberFormat="1" applyFont="1" applyFill="1" applyBorder="1" applyAlignment="1">
      <alignment horizontal="center" vertical="center"/>
    </xf>
    <xf numFmtId="164" fontId="31" fillId="0" borderId="20" xfId="0" applyNumberFormat="1" applyFont="1" applyBorder="1" applyAlignment="1">
      <alignment horizontal="right" vertical="center"/>
    </xf>
    <xf numFmtId="0" fontId="30" fillId="26" borderId="20" xfId="0" applyNumberFormat="1" applyFont="1" applyFill="1" applyBorder="1" applyAlignment="1">
      <alignment horizontal="center" vertical="center"/>
    </xf>
    <xf numFmtId="164" fontId="30" fillId="26" borderId="20" xfId="0" applyNumberFormat="1" applyFont="1" applyFill="1" applyBorder="1" applyAlignment="1">
      <alignment horizontal="center" vertical="center"/>
    </xf>
    <xf numFmtId="164" fontId="30" fillId="26" borderId="20" xfId="0" applyNumberFormat="1" applyFont="1" applyFill="1" applyBorder="1" applyAlignment="1">
      <alignment horizontal="right" vertical="center"/>
    </xf>
    <xf numFmtId="0" fontId="27" fillId="26" borderId="10" xfId="0" applyNumberFormat="1" applyFont="1" applyFill="1" applyBorder="1" applyAlignment="1">
      <alignment horizontal="center" vertical="center"/>
    </xf>
    <xf numFmtId="0" fontId="30" fillId="26" borderId="18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right" vertical="center"/>
    </xf>
    <xf numFmtId="164" fontId="0" fillId="24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center" vertical="top" wrapText="1"/>
    </xf>
    <xf numFmtId="4" fontId="0" fillId="24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center"/>
    </xf>
    <xf numFmtId="164" fontId="25" fillId="26" borderId="10" xfId="0" applyNumberFormat="1" applyFont="1" applyFill="1" applyBorder="1" applyAlignment="1">
      <alignment horizontal="right" vertical="center"/>
    </xf>
    <xf numFmtId="0" fontId="22" fillId="26" borderId="10" xfId="0" applyNumberFormat="1" applyFont="1" applyFill="1" applyBorder="1" applyAlignment="1">
      <alignment horizontal="center" vertical="center"/>
    </xf>
    <xf numFmtId="4" fontId="22" fillId="26" borderId="10" xfId="0" applyNumberFormat="1" applyFont="1" applyFill="1" applyBorder="1" applyAlignment="1">
      <alignment horizontal="center" vertical="center"/>
    </xf>
    <xf numFmtId="164" fontId="22" fillId="26" borderId="10" xfId="0" applyNumberFormat="1" applyFont="1" applyFill="1" applyBorder="1" applyAlignment="1">
      <alignment horizontal="right" vertical="center"/>
    </xf>
    <xf numFmtId="1" fontId="22" fillId="26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2" fontId="22" fillId="26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right" vertical="center"/>
    </xf>
    <xf numFmtId="0" fontId="0" fillId="24" borderId="1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2" fontId="22" fillId="0" borderId="0" xfId="0" applyNumberFormat="1" applyFont="1" applyAlignment="1">
      <alignment vertical="center"/>
    </xf>
    <xf numFmtId="4" fontId="22" fillId="26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center"/>
    </xf>
    <xf numFmtId="0" fontId="31" fillId="0" borderId="0" xfId="0" applyFont="1" applyAlignment="1">
      <alignment/>
    </xf>
    <xf numFmtId="4" fontId="25" fillId="26" borderId="10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7" fillId="25" borderId="15" xfId="0" applyFont="1" applyFill="1" applyBorder="1" applyAlignment="1">
      <alignment horizontal="center" vertical="center"/>
    </xf>
    <xf numFmtId="164" fontId="27" fillId="26" borderId="10" xfId="0" applyNumberFormat="1" applyFont="1" applyFill="1" applyBorder="1" applyAlignment="1">
      <alignment/>
    </xf>
    <xf numFmtId="0" fontId="27" fillId="25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164" fontId="31" fillId="0" borderId="19" xfId="0" applyNumberFormat="1" applyFont="1" applyFill="1" applyBorder="1" applyAlignment="1">
      <alignment horizontal="right" vertical="top" wrapText="1"/>
    </xf>
    <xf numFmtId="0" fontId="30" fillId="0" borderId="0" xfId="0" applyFont="1" applyBorder="1" applyAlignment="1">
      <alignment horizontal="center" vertical="center"/>
    </xf>
    <xf numFmtId="164" fontId="31" fillId="0" borderId="10" xfId="0" applyNumberFormat="1" applyFont="1" applyBorder="1" applyAlignment="1">
      <alignment/>
    </xf>
    <xf numFmtId="164" fontId="30" fillId="26" borderId="10" xfId="0" applyNumberFormat="1" applyFont="1" applyFill="1" applyBorder="1" applyAlignment="1">
      <alignment/>
    </xf>
    <xf numFmtId="164" fontId="31" fillId="0" borderId="0" xfId="0" applyNumberFormat="1" applyFont="1" applyAlignment="1">
      <alignment/>
    </xf>
    <xf numFmtId="164" fontId="31" fillId="0" borderId="0" xfId="0" applyNumberFormat="1" applyFont="1" applyAlignment="1">
      <alignment horizontal="center"/>
    </xf>
    <xf numFmtId="0" fontId="27" fillId="24" borderId="19" xfId="0" applyFont="1" applyFill="1" applyBorder="1" applyAlignment="1">
      <alignment horizontal="left" vertical="center"/>
    </xf>
    <xf numFmtId="0" fontId="27" fillId="24" borderId="13" xfId="0" applyFont="1" applyFill="1" applyBorder="1" applyAlignment="1">
      <alignment horizontal="left" vertical="center"/>
    </xf>
    <xf numFmtId="1" fontId="30" fillId="26" borderId="11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right" vertical="center"/>
    </xf>
    <xf numFmtId="2" fontId="33" fillId="0" borderId="0" xfId="0" applyNumberFormat="1" applyFont="1" applyFill="1" applyBorder="1" applyAlignment="1">
      <alignment vertical="center"/>
    </xf>
    <xf numFmtId="2" fontId="30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right" vertical="center"/>
    </xf>
    <xf numFmtId="2" fontId="27" fillId="0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left" vertical="center"/>
    </xf>
    <xf numFmtId="1" fontId="30" fillId="24" borderId="10" xfId="0" applyNumberFormat="1" applyFont="1" applyFill="1" applyBorder="1" applyAlignment="1">
      <alignment horizontal="center" vertical="center" wrapText="1"/>
    </xf>
    <xf numFmtId="1" fontId="31" fillId="0" borderId="11" xfId="0" applyNumberFormat="1" applyFont="1" applyFill="1" applyBorder="1" applyAlignment="1">
      <alignment horizontal="center" vertical="center"/>
    </xf>
    <xf numFmtId="1" fontId="27" fillId="25" borderId="11" xfId="0" applyNumberFormat="1" applyFont="1" applyFill="1" applyBorder="1" applyAlignment="1">
      <alignment horizontal="center" vertical="center"/>
    </xf>
    <xf numFmtId="1" fontId="31" fillId="0" borderId="16" xfId="0" applyNumberFormat="1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/>
    </xf>
    <xf numFmtId="1" fontId="27" fillId="25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2" fontId="36" fillId="26" borderId="10" xfId="0" applyNumberFormat="1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horizontal="center" vertical="center"/>
    </xf>
    <xf numFmtId="164" fontId="31" fillId="26" borderId="10" xfId="0" applyNumberFormat="1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164" fontId="31" fillId="0" borderId="10" xfId="64" applyNumberFormat="1" applyFont="1" applyBorder="1" applyAlignment="1">
      <alignment horizontal="right" vertical="center"/>
    </xf>
    <xf numFmtId="0" fontId="35" fillId="0" borderId="10" xfId="0" applyFont="1" applyFill="1" applyBorder="1" applyAlignment="1">
      <alignment horizontal="center" vertical="center"/>
    </xf>
    <xf numFmtId="0" fontId="36" fillId="26" borderId="1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center" wrapText="1"/>
    </xf>
    <xf numFmtId="2" fontId="33" fillId="0" borderId="0" xfId="0" applyNumberFormat="1" applyFont="1" applyFill="1" applyAlignment="1">
      <alignment vertical="center"/>
    </xf>
    <xf numFmtId="0" fontId="36" fillId="26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1" fontId="30" fillId="24" borderId="10" xfId="0" applyNumberFormat="1" applyFont="1" applyFill="1" applyBorder="1" applyAlignment="1">
      <alignment horizontal="center" vertical="center"/>
    </xf>
    <xf numFmtId="1" fontId="31" fillId="0" borderId="15" xfId="0" applyNumberFormat="1" applyFont="1" applyFill="1" applyBorder="1" applyAlignment="1">
      <alignment horizontal="center" vertical="center"/>
    </xf>
    <xf numFmtId="1" fontId="31" fillId="0" borderId="1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2" fontId="30" fillId="26" borderId="15" xfId="0" applyNumberFormat="1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31" fillId="24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22" fillId="24" borderId="13" xfId="0" applyNumberFormat="1" applyFont="1" applyFill="1" applyBorder="1" applyAlignment="1">
      <alignment horizontal="center" vertical="center" wrapText="1"/>
    </xf>
    <xf numFmtId="164" fontId="22" fillId="24" borderId="13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top" wrapText="1"/>
    </xf>
    <xf numFmtId="1" fontId="42" fillId="0" borderId="10" xfId="0" applyNumberFormat="1" applyFont="1" applyFill="1" applyBorder="1" applyAlignment="1">
      <alignment horizontal="center" vertical="center"/>
    </xf>
    <xf numFmtId="1" fontId="45" fillId="26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/>
    </xf>
    <xf numFmtId="4" fontId="22" fillId="26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22" fillId="26" borderId="10" xfId="0" applyNumberFormat="1" applyFont="1" applyFill="1" applyBorder="1" applyAlignment="1">
      <alignment horizontal="left" vertical="center"/>
    </xf>
    <xf numFmtId="0" fontId="22" fillId="26" borderId="10" xfId="0" applyNumberFormat="1" applyFont="1" applyFill="1" applyBorder="1" applyAlignment="1">
      <alignment vertical="center"/>
    </xf>
    <xf numFmtId="164" fontId="22" fillId="26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top" wrapText="1"/>
    </xf>
    <xf numFmtId="2" fontId="24" fillId="25" borderId="10" xfId="0" applyNumberFormat="1" applyFon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26" borderId="10" xfId="0" applyFont="1" applyFill="1" applyBorder="1" applyAlignment="1">
      <alignment vertical="top" wrapText="1"/>
    </xf>
    <xf numFmtId="164" fontId="22" fillId="26" borderId="10" xfId="0" applyNumberFormat="1" applyFont="1" applyFill="1" applyBorder="1" applyAlignment="1">
      <alignment horizontal="center" vertical="top" wrapText="1"/>
    </xf>
    <xf numFmtId="2" fontId="25" fillId="26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top" wrapText="1"/>
    </xf>
    <xf numFmtId="1" fontId="43" fillId="0" borderId="10" xfId="0" applyNumberFormat="1" applyFont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right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2" fontId="22" fillId="26" borderId="10" xfId="0" applyNumberFormat="1" applyFont="1" applyFill="1" applyBorder="1" applyAlignment="1">
      <alignment horizontal="right" vertical="center"/>
    </xf>
    <xf numFmtId="2" fontId="0" fillId="24" borderId="10" xfId="0" applyNumberFormat="1" applyFont="1" applyFill="1" applyBorder="1" applyAlignment="1">
      <alignment horizontal="right" vertical="center"/>
    </xf>
    <xf numFmtId="2" fontId="0" fillId="24" borderId="10" xfId="0" applyNumberFormat="1" applyFont="1" applyFill="1" applyBorder="1" applyAlignment="1">
      <alignment horizontal="center" vertical="top" wrapText="1"/>
    </xf>
    <xf numFmtId="2" fontId="22" fillId="26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2" fontId="22" fillId="26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22" fillId="26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Alignment="1">
      <alignment horizontal="center" vertical="center"/>
    </xf>
    <xf numFmtId="2" fontId="25" fillId="0" borderId="0" xfId="0" applyNumberFormat="1" applyFont="1" applyFill="1" applyBorder="1" applyAlignment="1">
      <alignment vertical="center"/>
    </xf>
    <xf numFmtId="164" fontId="22" fillId="0" borderId="0" xfId="0" applyNumberFormat="1" applyFont="1" applyFill="1" applyAlignment="1">
      <alignment horizontal="center" vertical="center"/>
    </xf>
    <xf numFmtId="164" fontId="22" fillId="0" borderId="0" xfId="0" applyNumberFormat="1" applyFont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1" fillId="26" borderId="10" xfId="0" applyFont="1" applyFill="1" applyBorder="1" applyAlignment="1">
      <alignment vertical="center"/>
    </xf>
    <xf numFmtId="0" fontId="0" fillId="0" borderId="17" xfId="50" applyFont="1" applyFill="1" applyBorder="1" applyAlignment="1">
      <alignment horizontal="center" vertical="top" wrapText="1"/>
      <protection/>
    </xf>
    <xf numFmtId="2" fontId="36" fillId="26" borderId="18" xfId="0" applyNumberFormat="1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top" wrapText="1"/>
    </xf>
    <xf numFmtId="0" fontId="31" fillId="24" borderId="11" xfId="0" applyFont="1" applyFill="1" applyBorder="1" applyAlignment="1">
      <alignment horizontal="center" vertical="center"/>
    </xf>
    <xf numFmtId="0" fontId="31" fillId="26" borderId="17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50" applyFont="1" applyFill="1" applyBorder="1" applyAlignment="1">
      <alignment horizontal="center" vertical="center"/>
      <protection/>
    </xf>
    <xf numFmtId="0" fontId="31" fillId="0" borderId="10" xfId="0" applyFont="1" applyFill="1" applyBorder="1" applyAlignment="1">
      <alignment vertical="center"/>
    </xf>
    <xf numFmtId="0" fontId="22" fillId="24" borderId="10" xfId="0" applyNumberFormat="1" applyFont="1" applyFill="1" applyBorder="1" applyAlignment="1">
      <alignment horizontal="center" vertical="center" wrapText="1"/>
    </xf>
    <xf numFmtId="2" fontId="22" fillId="26" borderId="17" xfId="0" applyNumberFormat="1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top" wrapText="1"/>
    </xf>
    <xf numFmtId="164" fontId="31" fillId="26" borderId="10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horizontal="right" vertical="center"/>
    </xf>
    <xf numFmtId="0" fontId="24" fillId="25" borderId="10" xfId="0" applyFont="1" applyFill="1" applyBorder="1" applyAlignment="1">
      <alignment horizontal="center" vertical="center"/>
    </xf>
    <xf numFmtId="164" fontId="22" fillId="26" borderId="10" xfId="0" applyNumberFormat="1" applyFont="1" applyFill="1" applyBorder="1" applyAlignment="1">
      <alignment horizontal="right" vertical="top" wrapText="1"/>
    </xf>
    <xf numFmtId="0" fontId="31" fillId="0" borderId="0" xfId="0" applyFont="1" applyFill="1" applyAlignment="1">
      <alignment horizontal="center" vertical="center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19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" fontId="31" fillId="26" borderId="10" xfId="0" applyNumberFormat="1" applyFont="1" applyFill="1" applyBorder="1" applyAlignment="1">
      <alignment horizontal="center" vertical="center"/>
    </xf>
    <xf numFmtId="188" fontId="31" fillId="26" borderId="10" xfId="0" applyNumberFormat="1" applyFont="1" applyFill="1" applyBorder="1" applyAlignment="1">
      <alignment horizontal="right" vertical="center"/>
    </xf>
    <xf numFmtId="164" fontId="31" fillId="26" borderId="18" xfId="0" applyNumberFormat="1" applyFont="1" applyFill="1" applyBorder="1" applyAlignment="1">
      <alignment horizontal="right" vertical="center"/>
    </xf>
    <xf numFmtId="0" fontId="0" fillId="0" borderId="17" xfId="50" applyFont="1" applyFill="1" applyBorder="1" applyAlignment="1">
      <alignment horizontal="left" vertical="center"/>
      <protection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top" wrapText="1"/>
    </xf>
    <xf numFmtId="0" fontId="0" fillId="0" borderId="26" xfId="50" applyFont="1" applyFill="1" applyBorder="1" applyAlignment="1">
      <alignment horizontal="center" vertical="top" wrapText="1"/>
      <protection/>
    </xf>
    <xf numFmtId="0" fontId="0" fillId="0" borderId="10" xfId="50" applyFont="1" applyFill="1" applyBorder="1" applyAlignment="1">
      <alignment horizontal="center" vertical="top" wrapText="1"/>
      <protection/>
    </xf>
    <xf numFmtId="2" fontId="31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42" fillId="0" borderId="10" xfId="50" applyFont="1" applyFill="1" applyBorder="1" applyAlignment="1">
      <alignment horizontal="center" vertical="center"/>
      <protection/>
    </xf>
    <xf numFmtId="0" fontId="31" fillId="0" borderId="27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 wrapText="1"/>
    </xf>
    <xf numFmtId="164" fontId="30" fillId="26" borderId="10" xfId="0" applyNumberFormat="1" applyFont="1" applyFill="1" applyBorder="1" applyAlignment="1">
      <alignment vertical="center"/>
    </xf>
    <xf numFmtId="164" fontId="30" fillId="0" borderId="0" xfId="0" applyNumberFormat="1" applyFont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164" fontId="31" fillId="0" borderId="10" xfId="0" applyNumberFormat="1" applyFont="1" applyFill="1" applyBorder="1" applyAlignment="1">
      <alignment/>
    </xf>
    <xf numFmtId="164" fontId="31" fillId="0" borderId="10" xfId="0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top" wrapText="1"/>
    </xf>
    <xf numFmtId="0" fontId="0" fillId="0" borderId="26" xfId="5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0" fillId="26" borderId="10" xfId="0" applyFont="1" applyFill="1" applyBorder="1" applyAlignment="1">
      <alignment vertical="center"/>
    </xf>
    <xf numFmtId="0" fontId="25" fillId="25" borderId="10" xfId="0" applyFont="1" applyFill="1" applyBorder="1" applyAlignment="1">
      <alignment vertical="center"/>
    </xf>
    <xf numFmtId="2" fontId="22" fillId="26" borderId="17" xfId="0" applyNumberFormat="1" applyFont="1" applyFill="1" applyBorder="1" applyAlignment="1">
      <alignment vertical="center"/>
    </xf>
    <xf numFmtId="4" fontId="25" fillId="25" borderId="10" xfId="0" applyNumberFormat="1" applyFont="1" applyFill="1" applyBorder="1" applyAlignment="1">
      <alignment horizontal="left" vertical="center"/>
    </xf>
    <xf numFmtId="0" fontId="28" fillId="0" borderId="25" xfId="0" applyFont="1" applyBorder="1" applyAlignment="1">
      <alignment vertical="center"/>
    </xf>
    <xf numFmtId="4" fontId="22" fillId="24" borderId="13" xfId="0" applyNumberFormat="1" applyFont="1" applyFill="1" applyBorder="1" applyAlignment="1">
      <alignment horizontal="center" vertical="center" wrapText="1"/>
    </xf>
    <xf numFmtId="4" fontId="31" fillId="24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right" vertical="center"/>
    </xf>
    <xf numFmtId="4" fontId="31" fillId="26" borderId="10" xfId="0" applyNumberFormat="1" applyFont="1" applyFill="1" applyBorder="1" applyAlignment="1">
      <alignment horizontal="right" vertical="center"/>
    </xf>
    <xf numFmtId="4" fontId="31" fillId="24" borderId="10" xfId="0" applyNumberFormat="1" applyFont="1" applyFill="1" applyBorder="1" applyAlignment="1">
      <alignment horizontal="right" vertical="center"/>
    </xf>
    <xf numFmtId="4" fontId="30" fillId="26" borderId="10" xfId="0" applyNumberFormat="1" applyFont="1" applyFill="1" applyBorder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0" fontId="0" fillId="0" borderId="10" xfId="50" applyFont="1" applyFill="1" applyBorder="1" applyAlignment="1">
      <alignment horizontal="center" vertical="center"/>
      <protection/>
    </xf>
    <xf numFmtId="4" fontId="0" fillId="0" borderId="10" xfId="50" applyNumberFormat="1" applyFont="1" applyFill="1" applyBorder="1" applyAlignment="1">
      <alignment horizontal="center" vertical="center"/>
      <protection/>
    </xf>
    <xf numFmtId="0" fontId="0" fillId="0" borderId="10" xfId="50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8" fillId="0" borderId="25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0" fillId="0" borderId="16" xfId="50" applyFont="1" applyFill="1" applyBorder="1" applyAlignment="1">
      <alignment horizontal="center" vertical="top" wrapText="1"/>
      <protection/>
    </xf>
    <xf numFmtId="0" fontId="30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1" fontId="43" fillId="0" borderId="18" xfId="0" applyNumberFormat="1" applyFont="1" applyFill="1" applyBorder="1" applyAlignment="1">
      <alignment horizontal="center" vertical="center"/>
    </xf>
    <xf numFmtId="1" fontId="42" fillId="0" borderId="18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1" fontId="42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164" fontId="22" fillId="24" borderId="10" xfId="0" applyNumberFormat="1" applyFont="1" applyFill="1" applyBorder="1" applyAlignment="1">
      <alignment horizontal="right" vertical="center"/>
    </xf>
    <xf numFmtId="164" fontId="22" fillId="0" borderId="10" xfId="0" applyNumberFormat="1" applyFont="1" applyFill="1" applyBorder="1" applyAlignment="1">
      <alignment horizontal="center" vertical="center"/>
    </xf>
    <xf numFmtId="164" fontId="31" fillId="0" borderId="18" xfId="0" applyNumberFormat="1" applyFont="1" applyBorder="1" applyAlignment="1">
      <alignment horizontal="center" vertical="center"/>
    </xf>
    <xf numFmtId="164" fontId="31" fillId="26" borderId="18" xfId="0" applyNumberFormat="1" applyFont="1" applyFill="1" applyBorder="1" applyAlignment="1">
      <alignment horizontal="center" vertical="center"/>
    </xf>
    <xf numFmtId="164" fontId="31" fillId="0" borderId="0" xfId="0" applyNumberFormat="1" applyFont="1" applyAlignment="1">
      <alignment horizontal="right"/>
    </xf>
    <xf numFmtId="1" fontId="31" fillId="0" borderId="16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horizontal="center"/>
    </xf>
    <xf numFmtId="0" fontId="27" fillId="26" borderId="10" xfId="0" applyFont="1" applyFill="1" applyBorder="1" applyAlignment="1">
      <alignment horizontal="center"/>
    </xf>
    <xf numFmtId="0" fontId="27" fillId="26" borderId="10" xfId="0" applyFont="1" applyFill="1" applyBorder="1" applyAlignment="1">
      <alignment horizontal="center" vertical="top" wrapText="1"/>
    </xf>
    <xf numFmtId="7" fontId="27" fillId="26" borderId="10" xfId="44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top" wrapText="1"/>
    </xf>
    <xf numFmtId="0" fontId="31" fillId="0" borderId="0" xfId="0" applyFont="1" applyBorder="1" applyAlignment="1">
      <alignment/>
    </xf>
    <xf numFmtId="183" fontId="31" fillId="0" borderId="0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right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7" fillId="26" borderId="15" xfId="0" applyFont="1" applyFill="1" applyBorder="1" applyAlignment="1">
      <alignment horizontal="center" vertical="center"/>
    </xf>
    <xf numFmtId="0" fontId="46" fillId="26" borderId="10" xfId="0" applyFont="1" applyFill="1" applyBorder="1" applyAlignment="1">
      <alignment horizontal="center" vertical="center"/>
    </xf>
    <xf numFmtId="0" fontId="46" fillId="26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7" fontId="27" fillId="26" borderId="10" xfId="44" applyNumberFormat="1" applyFont="1" applyFill="1" applyBorder="1" applyAlignment="1">
      <alignment horizontal="right" vertical="center"/>
    </xf>
    <xf numFmtId="7" fontId="27" fillId="26" borderId="10" xfId="44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27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/>
    </xf>
    <xf numFmtId="164" fontId="30" fillId="24" borderId="10" xfId="0" applyNumberFormat="1" applyFont="1" applyFill="1" applyBorder="1" applyAlignment="1">
      <alignment horizontal="center" vertical="center" wrapText="1"/>
    </xf>
    <xf numFmtId="0" fontId="30" fillId="26" borderId="25" xfId="0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top" wrapText="1"/>
    </xf>
    <xf numFmtId="164" fontId="30" fillId="26" borderId="10" xfId="0" applyNumberFormat="1" applyFont="1" applyFill="1" applyBorder="1" applyAlignment="1">
      <alignment horizontal="right" vertical="top" wrapText="1"/>
    </xf>
    <xf numFmtId="0" fontId="31" fillId="0" borderId="0" xfId="0" applyFont="1" applyFill="1" applyAlignment="1">
      <alignment/>
    </xf>
    <xf numFmtId="0" fontId="30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/>
    </xf>
    <xf numFmtId="0" fontId="27" fillId="24" borderId="14" xfId="0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164" fontId="30" fillId="24" borderId="14" xfId="0" applyNumberFormat="1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27" fillId="26" borderId="25" xfId="0" applyFont="1" applyFill="1" applyBorder="1" applyAlignment="1">
      <alignment horizontal="center"/>
    </xf>
    <xf numFmtId="164" fontId="27" fillId="26" borderId="10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vertical="center"/>
    </xf>
    <xf numFmtId="164" fontId="31" fillId="0" borderId="0" xfId="0" applyNumberFormat="1" applyFont="1" applyBorder="1" applyAlignment="1">
      <alignment/>
    </xf>
    <xf numFmtId="0" fontId="30" fillId="0" borderId="25" xfId="0" applyFont="1" applyBorder="1" applyAlignment="1">
      <alignment/>
    </xf>
    <xf numFmtId="0" fontId="30" fillId="0" borderId="25" xfId="0" applyFont="1" applyBorder="1" applyAlignment="1">
      <alignment/>
    </xf>
    <xf numFmtId="0" fontId="27" fillId="25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1" fontId="30" fillId="26" borderId="10" xfId="0" applyNumberFormat="1" applyFont="1" applyFill="1" applyBorder="1" applyAlignment="1">
      <alignment horizontal="center" vertical="center"/>
    </xf>
    <xf numFmtId="2" fontId="27" fillId="26" borderId="10" xfId="0" applyNumberFormat="1" applyFont="1" applyFill="1" applyBorder="1" applyAlignment="1">
      <alignment horizontal="center" vertical="center"/>
    </xf>
    <xf numFmtId="2" fontId="27" fillId="26" borderId="10" xfId="0" applyNumberFormat="1" applyFont="1" applyFill="1" applyBorder="1" applyAlignment="1">
      <alignment vertical="center"/>
    </xf>
    <xf numFmtId="164" fontId="30" fillId="26" borderId="10" xfId="0" applyNumberFormat="1" applyFont="1" applyFill="1" applyBorder="1" applyAlignment="1">
      <alignment horizontal="right" vertical="center"/>
    </xf>
    <xf numFmtId="164" fontId="30" fillId="24" borderId="10" xfId="0" applyNumberFormat="1" applyFont="1" applyFill="1" applyBorder="1" applyAlignment="1">
      <alignment horizontal="center" vertical="top" wrapText="1"/>
    </xf>
    <xf numFmtId="2" fontId="30" fillId="26" borderId="10" xfId="0" applyNumberFormat="1" applyFont="1" applyFill="1" applyBorder="1" applyAlignment="1">
      <alignment vertical="center"/>
    </xf>
    <xf numFmtId="0" fontId="30" fillId="26" borderId="10" xfId="0" applyNumberFormat="1" applyFont="1" applyFill="1" applyBorder="1" applyAlignment="1">
      <alignment horizontal="center" vertical="center"/>
    </xf>
    <xf numFmtId="2" fontId="30" fillId="26" borderId="10" xfId="0" applyNumberFormat="1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1" fontId="27" fillId="26" borderId="10" xfId="0" applyNumberFormat="1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vertical="center"/>
    </xf>
    <xf numFmtId="164" fontId="27" fillId="26" borderId="1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2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1" fillId="0" borderId="25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30" fillId="0" borderId="0" xfId="0" applyFont="1" applyAlignment="1">
      <alignment horizontal="right"/>
    </xf>
    <xf numFmtId="164" fontId="0" fillId="0" borderId="10" xfId="0" applyNumberFormat="1" applyFont="1" applyFill="1" applyBorder="1" applyAlignment="1">
      <alignment horizontal="right" vertical="center" wrapText="1"/>
    </xf>
    <xf numFmtId="0" fontId="31" fillId="0" borderId="10" xfId="0" applyFont="1" applyBorder="1" applyAlignment="1">
      <alignment vertical="top" wrapText="1"/>
    </xf>
    <xf numFmtId="164" fontId="31" fillId="0" borderId="10" xfId="44" applyNumberFormat="1" applyFont="1" applyBorder="1" applyAlignment="1">
      <alignment horizontal="right" vertical="center"/>
    </xf>
    <xf numFmtId="7" fontId="31" fillId="0" borderId="10" xfId="44" applyNumberFormat="1" applyFont="1" applyBorder="1" applyAlignment="1">
      <alignment horizontal="right" vertical="center"/>
    </xf>
    <xf numFmtId="164" fontId="27" fillId="26" borderId="10" xfId="44" applyNumberFormat="1" applyFont="1" applyFill="1" applyBorder="1" applyAlignment="1">
      <alignment horizontal="right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7" fontId="31" fillId="0" borderId="10" xfId="44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/>
    </xf>
    <xf numFmtId="164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164" fontId="31" fillId="0" borderId="10" xfId="0" applyNumberFormat="1" applyFont="1" applyFill="1" applyBorder="1" applyAlignment="1">
      <alignment horizontal="right" vertical="top" wrapText="1"/>
    </xf>
    <xf numFmtId="164" fontId="31" fillId="0" borderId="10" xfId="0" applyNumberFormat="1" applyFont="1" applyFill="1" applyBorder="1" applyAlignment="1">
      <alignment horizontal="right" vertical="center"/>
    </xf>
    <xf numFmtId="0" fontId="27" fillId="26" borderId="34" xfId="0" applyFont="1" applyFill="1" applyBorder="1" applyAlignment="1">
      <alignment/>
    </xf>
    <xf numFmtId="0" fontId="27" fillId="26" borderId="25" xfId="0" applyFont="1" applyFill="1" applyBorder="1" applyAlignment="1">
      <alignment/>
    </xf>
    <xf numFmtId="0" fontId="48" fillId="0" borderId="25" xfId="0" applyFont="1" applyBorder="1" applyAlignment="1">
      <alignment vertical="center"/>
    </xf>
    <xf numFmtId="183" fontId="30" fillId="24" borderId="10" xfId="0" applyNumberFormat="1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left" vertical="center"/>
    </xf>
    <xf numFmtId="1" fontId="27" fillId="25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164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" fontId="30" fillId="0" borderId="0" xfId="0" applyNumberFormat="1" applyFont="1" applyFill="1" applyBorder="1" applyAlignment="1">
      <alignment horizontal="center" vertical="center"/>
    </xf>
    <xf numFmtId="0" fontId="0" fillId="0" borderId="10" xfId="50" applyFont="1" applyFill="1" applyBorder="1" applyAlignment="1">
      <alignment horizontal="left" vertical="center"/>
      <protection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50" applyFont="1" applyFill="1" applyBorder="1" applyAlignment="1">
      <alignment horizontal="center" vertical="top" wrapText="1"/>
      <protection/>
    </xf>
    <xf numFmtId="1" fontId="31" fillId="0" borderId="0" xfId="0" applyNumberFormat="1" applyFont="1" applyFill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 wrapText="1"/>
    </xf>
    <xf numFmtId="164" fontId="28" fillId="0" borderId="18" xfId="0" applyNumberFormat="1" applyFont="1" applyBorder="1" applyAlignment="1">
      <alignment vertical="center"/>
    </xf>
    <xf numFmtId="164" fontId="28" fillId="0" borderId="34" xfId="0" applyNumberFormat="1" applyFont="1" applyBorder="1" applyAlignment="1">
      <alignment vertical="center"/>
    </xf>
    <xf numFmtId="164" fontId="25" fillId="26" borderId="10" xfId="0" applyNumberFormat="1" applyFont="1" applyFill="1" applyBorder="1" applyAlignment="1">
      <alignment horizontal="center" vertical="center"/>
    </xf>
    <xf numFmtId="164" fontId="28" fillId="0" borderId="25" xfId="0" applyNumberFormat="1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30" fillId="26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/>
    </xf>
    <xf numFmtId="164" fontId="28" fillId="0" borderId="35" xfId="0" applyNumberFormat="1" applyFont="1" applyBorder="1" applyAlignment="1">
      <alignment vertic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4" fontId="30" fillId="26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vertical="center"/>
    </xf>
    <xf numFmtId="0" fontId="22" fillId="26" borderId="10" xfId="0" applyFont="1" applyFill="1" applyBorder="1" applyAlignment="1">
      <alignment horizontal="right" vertical="center"/>
    </xf>
    <xf numFmtId="0" fontId="28" fillId="0" borderId="25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0" fillId="24" borderId="22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13" xfId="0" applyNumberFormat="1" applyFont="1" applyFill="1" applyBorder="1" applyAlignment="1">
      <alignment horizontal="center" vertical="center" wrapText="1"/>
    </xf>
    <xf numFmtId="164" fontId="30" fillId="24" borderId="13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7" fillId="25" borderId="17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top" wrapText="1"/>
    </xf>
    <xf numFmtId="183" fontId="33" fillId="24" borderId="10" xfId="0" applyNumberFormat="1" applyFont="1" applyFill="1" applyBorder="1" applyAlignment="1">
      <alignment horizontal="center" vertical="center"/>
    </xf>
    <xf numFmtId="164" fontId="33" fillId="24" borderId="10" xfId="0" applyNumberFormat="1" applyFont="1" applyFill="1" applyBorder="1" applyAlignment="1">
      <alignment horizontal="right" vertical="center"/>
    </xf>
    <xf numFmtId="164" fontId="33" fillId="24" borderId="18" xfId="0" applyNumberFormat="1" applyFont="1" applyFill="1" applyBorder="1" applyAlignment="1">
      <alignment horizontal="right" vertical="center"/>
    </xf>
    <xf numFmtId="164" fontId="33" fillId="24" borderId="18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188" fontId="31" fillId="0" borderId="10" xfId="0" applyNumberFormat="1" applyFont="1" applyFill="1" applyBorder="1" applyAlignment="1">
      <alignment horizontal="right" vertical="center"/>
    </xf>
    <xf numFmtId="164" fontId="31" fillId="0" borderId="18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4" fontId="31" fillId="0" borderId="14" xfId="0" applyNumberFormat="1" applyFont="1" applyFill="1" applyBorder="1" applyAlignment="1">
      <alignment horizontal="center" vertical="center"/>
    </xf>
    <xf numFmtId="188" fontId="31" fillId="0" borderId="14" xfId="0" applyNumberFormat="1" applyFont="1" applyFill="1" applyBorder="1" applyAlignment="1">
      <alignment horizontal="right" vertical="center"/>
    </xf>
    <xf numFmtId="164" fontId="31" fillId="0" borderId="14" xfId="0" applyNumberFormat="1" applyFont="1" applyFill="1" applyBorder="1" applyAlignment="1">
      <alignment horizontal="right" vertical="center"/>
    </xf>
    <xf numFmtId="164" fontId="31" fillId="0" borderId="20" xfId="0" applyNumberFormat="1" applyFont="1" applyFill="1" applyBorder="1" applyAlignment="1">
      <alignment horizontal="right" vertical="center"/>
    </xf>
    <xf numFmtId="164" fontId="30" fillId="0" borderId="10" xfId="0" applyNumberFormat="1" applyFont="1" applyFill="1" applyBorder="1" applyAlignment="1">
      <alignment horizontal="center" vertical="center"/>
    </xf>
    <xf numFmtId="4" fontId="30" fillId="26" borderId="10" xfId="0" applyNumberFormat="1" applyFont="1" applyFill="1" applyBorder="1" applyAlignment="1">
      <alignment horizontal="center" vertical="center"/>
    </xf>
    <xf numFmtId="4" fontId="30" fillId="26" borderId="14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32" fillId="25" borderId="11" xfId="0" applyFont="1" applyFill="1" applyBorder="1" applyAlignment="1">
      <alignment horizontal="center" vertical="center"/>
    </xf>
    <xf numFmtId="4" fontId="31" fillId="24" borderId="10" xfId="0" applyNumberFormat="1" applyFont="1" applyFill="1" applyBorder="1" applyAlignment="1">
      <alignment horizontal="center" vertical="top" wrapText="1"/>
    </xf>
    <xf numFmtId="188" fontId="33" fillId="24" borderId="10" xfId="0" applyNumberFormat="1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horizontal="center" vertical="center"/>
    </xf>
    <xf numFmtId="164" fontId="31" fillId="0" borderId="18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2" fontId="30" fillId="26" borderId="17" xfId="0" applyNumberFormat="1" applyFont="1" applyFill="1" applyBorder="1" applyAlignment="1">
      <alignment horizontal="center" vertical="center"/>
    </xf>
    <xf numFmtId="164" fontId="30" fillId="24" borderId="10" xfId="0" applyNumberFormat="1" applyFont="1" applyFill="1" applyBorder="1" applyAlignment="1">
      <alignment horizontal="right" vertical="center"/>
    </xf>
    <xf numFmtId="4" fontId="31" fillId="0" borderId="10" xfId="0" applyNumberFormat="1" applyFont="1" applyBorder="1" applyAlignment="1">
      <alignment horizontal="center" vertical="center"/>
    </xf>
    <xf numFmtId="185" fontId="31" fillId="0" borderId="10" xfId="0" applyNumberFormat="1" applyFont="1" applyBorder="1" applyAlignment="1">
      <alignment horizontal="right" vertical="center"/>
    </xf>
    <xf numFmtId="164" fontId="31" fillId="0" borderId="10" xfId="0" applyNumberFormat="1" applyFont="1" applyBorder="1" applyAlignment="1">
      <alignment horizontal="right" vertical="center"/>
    </xf>
    <xf numFmtId="188" fontId="31" fillId="0" borderId="10" xfId="0" applyNumberFormat="1" applyFont="1" applyBorder="1" applyAlignment="1">
      <alignment horizontal="right" vertical="center"/>
    </xf>
    <xf numFmtId="164" fontId="31" fillId="0" borderId="18" xfId="0" applyNumberFormat="1" applyFont="1" applyBorder="1" applyAlignment="1">
      <alignment horizontal="center" vertical="center"/>
    </xf>
    <xf numFmtId="0" fontId="31" fillId="26" borderId="11" xfId="0" applyFont="1" applyFill="1" applyBorder="1" applyAlignment="1">
      <alignment horizontal="center" vertical="center"/>
    </xf>
    <xf numFmtId="188" fontId="31" fillId="26" borderId="10" xfId="0" applyNumberFormat="1" applyFont="1" applyFill="1" applyBorder="1" applyAlignment="1">
      <alignment horizontal="right" vertical="center"/>
    </xf>
    <xf numFmtId="164" fontId="31" fillId="26" borderId="18" xfId="0" applyNumberFormat="1" applyFont="1" applyFill="1" applyBorder="1" applyAlignment="1">
      <alignment horizontal="right" vertical="center"/>
    </xf>
    <xf numFmtId="4" fontId="31" fillId="0" borderId="14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/>
    </xf>
    <xf numFmtId="0" fontId="27" fillId="26" borderId="10" xfId="0" applyFont="1" applyFill="1" applyBorder="1" applyAlignment="1">
      <alignment horizontal="center" vertical="center"/>
    </xf>
    <xf numFmtId="4" fontId="27" fillId="26" borderId="10" xfId="0" applyNumberFormat="1" applyFont="1" applyFill="1" applyBorder="1" applyAlignment="1">
      <alignment horizontal="center" vertical="center"/>
    </xf>
    <xf numFmtId="183" fontId="30" fillId="26" borderId="1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183" fontId="31" fillId="0" borderId="0" xfId="0" applyNumberFormat="1" applyFont="1" applyAlignment="1">
      <alignment horizontal="center" vertical="center"/>
    </xf>
    <xf numFmtId="164" fontId="31" fillId="0" borderId="0" xfId="0" applyNumberFormat="1" applyFont="1" applyAlignment="1">
      <alignment horizontal="right" vertical="center"/>
    </xf>
    <xf numFmtId="164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43" fillId="0" borderId="10" xfId="0" applyFont="1" applyFill="1" applyBorder="1" applyAlignment="1">
      <alignment horizontal="left" vertical="center"/>
    </xf>
    <xf numFmtId="2" fontId="30" fillId="26" borderId="17" xfId="0" applyNumberFormat="1" applyFont="1" applyFill="1" applyBorder="1" applyAlignment="1">
      <alignment horizontal="center" vertical="center"/>
    </xf>
    <xf numFmtId="2" fontId="30" fillId="26" borderId="26" xfId="0" applyNumberFormat="1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30" fillId="24" borderId="10" xfId="0" applyFont="1" applyFill="1" applyBorder="1" applyAlignment="1">
      <alignment horizontal="left" vertical="center"/>
    </xf>
    <xf numFmtId="4" fontId="42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/>
    </xf>
    <xf numFmtId="0" fontId="43" fillId="24" borderId="10" xfId="0" applyFont="1" applyFill="1" applyBorder="1" applyAlignment="1">
      <alignment horizontal="center" vertical="top" wrapText="1"/>
    </xf>
    <xf numFmtId="2" fontId="31" fillId="24" borderId="10" xfId="0" applyNumberFormat="1" applyFont="1" applyFill="1" applyBorder="1" applyAlignment="1">
      <alignment horizontal="center" vertical="center"/>
    </xf>
    <xf numFmtId="0" fontId="34" fillId="27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2" fontId="30" fillId="0" borderId="0" xfId="0" applyNumberFormat="1" applyFont="1" applyAlignment="1">
      <alignment vertical="center"/>
    </xf>
    <xf numFmtId="0" fontId="31" fillId="26" borderId="10" xfId="0" applyFont="1" applyFill="1" applyBorder="1" applyAlignment="1">
      <alignment horizontal="center"/>
    </xf>
    <xf numFmtId="0" fontId="31" fillId="26" borderId="10" xfId="0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164" fontId="33" fillId="24" borderId="10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top" wrapText="1"/>
    </xf>
    <xf numFmtId="0" fontId="34" fillId="25" borderId="10" xfId="0" applyFont="1" applyFill="1" applyBorder="1" applyAlignment="1">
      <alignment horizontal="center" vertical="center"/>
    </xf>
    <xf numFmtId="2" fontId="34" fillId="25" borderId="10" xfId="0" applyNumberFormat="1" applyFont="1" applyFill="1" applyBorder="1" applyAlignment="1">
      <alignment horizontal="center" vertical="center"/>
    </xf>
    <xf numFmtId="164" fontId="31" fillId="24" borderId="10" xfId="0" applyNumberFormat="1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center"/>
    </xf>
    <xf numFmtId="164" fontId="31" fillId="0" borderId="10" xfId="0" applyNumberFormat="1" applyFont="1" applyFill="1" applyBorder="1" applyAlignment="1">
      <alignment vertical="center"/>
    </xf>
    <xf numFmtId="1" fontId="31" fillId="0" borderId="10" xfId="0" applyNumberFormat="1" applyFont="1" applyBorder="1" applyAlignment="1">
      <alignment horizontal="center" vertical="center"/>
    </xf>
    <xf numFmtId="164" fontId="30" fillId="26" borderId="10" xfId="0" applyNumberFormat="1" applyFont="1" applyFill="1" applyBorder="1" applyAlignment="1">
      <alignment horizontal="center" vertical="top" wrapText="1"/>
    </xf>
    <xf numFmtId="4" fontId="30" fillId="26" borderId="10" xfId="0" applyNumberFormat="1" applyFont="1" applyFill="1" applyBorder="1" applyAlignment="1">
      <alignment horizontal="center" vertical="top" wrapText="1"/>
    </xf>
    <xf numFmtId="164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2" fontId="34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164" fontId="30" fillId="0" borderId="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2" fontId="30" fillId="24" borderId="10" xfId="0" applyNumberFormat="1" applyFont="1" applyFill="1" applyBorder="1" applyAlignment="1">
      <alignment horizontal="center" vertical="top" wrapText="1"/>
    </xf>
    <xf numFmtId="164" fontId="31" fillId="24" borderId="10" xfId="0" applyNumberFormat="1" applyFont="1" applyFill="1" applyBorder="1" applyAlignment="1">
      <alignment horizontal="right" vertical="center"/>
    </xf>
    <xf numFmtId="2" fontId="30" fillId="24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top" wrapText="1"/>
    </xf>
    <xf numFmtId="164" fontId="31" fillId="0" borderId="0" xfId="0" applyNumberFormat="1" applyFont="1" applyFill="1" applyAlignment="1">
      <alignment vertical="center"/>
    </xf>
    <xf numFmtId="1" fontId="43" fillId="0" borderId="10" xfId="0" applyNumberFormat="1" applyFont="1" applyFill="1" applyBorder="1" applyAlignment="1">
      <alignment horizontal="center" vertical="center"/>
    </xf>
    <xf numFmtId="2" fontId="30" fillId="26" borderId="10" xfId="0" applyNumberFormat="1" applyFont="1" applyFill="1" applyBorder="1" applyAlignment="1">
      <alignment horizontal="right" vertical="center"/>
    </xf>
    <xf numFmtId="16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2" fontId="31" fillId="24" borderId="1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center"/>
    </xf>
    <xf numFmtId="1" fontId="31" fillId="0" borderId="0" xfId="0" applyNumberFormat="1" applyFont="1" applyFill="1" applyAlignment="1">
      <alignment vertical="center"/>
    </xf>
    <xf numFmtId="164" fontId="31" fillId="0" borderId="0" xfId="0" applyNumberFormat="1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31" fillId="0" borderId="0" xfId="0" applyNumberFormat="1" applyFont="1" applyAlignment="1">
      <alignment vertical="center"/>
    </xf>
    <xf numFmtId="0" fontId="34" fillId="26" borderId="10" xfId="0" applyFont="1" applyFill="1" applyBorder="1" applyAlignment="1">
      <alignment horizontal="center" vertical="center"/>
    </xf>
    <xf numFmtId="164" fontId="31" fillId="0" borderId="0" xfId="0" applyNumberFormat="1" applyFont="1" applyFill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164" fontId="31" fillId="0" borderId="10" xfId="0" applyNumberFormat="1" applyFont="1" applyFill="1" applyBorder="1" applyAlignment="1">
      <alignment horizontal="center" vertical="center"/>
    </xf>
    <xf numFmtId="164" fontId="30" fillId="26" borderId="10" xfId="0" applyNumberFormat="1" applyFont="1" applyFill="1" applyBorder="1" applyAlignment="1">
      <alignment horizontal="center" vertical="center"/>
    </xf>
    <xf numFmtId="164" fontId="30" fillId="26" borderId="10" xfId="0" applyNumberFormat="1" applyFont="1" applyFill="1" applyBorder="1" applyAlignment="1">
      <alignment vertical="center"/>
    </xf>
    <xf numFmtId="2" fontId="31" fillId="0" borderId="10" xfId="0" applyNumberFormat="1" applyFont="1" applyFill="1" applyBorder="1" applyAlignment="1">
      <alignment vertical="center"/>
    </xf>
    <xf numFmtId="2" fontId="31" fillId="24" borderId="10" xfId="0" applyNumberFormat="1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right" vertical="center"/>
    </xf>
    <xf numFmtId="2" fontId="31" fillId="0" borderId="10" xfId="0" applyNumberFormat="1" applyFont="1" applyFill="1" applyBorder="1" applyAlignment="1">
      <alignment horizontal="right" vertical="top" wrapText="1"/>
    </xf>
    <xf numFmtId="2" fontId="31" fillId="0" borderId="0" xfId="0" applyNumberFormat="1" applyFont="1" applyFill="1" applyAlignment="1">
      <alignment horizontal="center" vertical="center"/>
    </xf>
    <xf numFmtId="2" fontId="30" fillId="26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vertical="center"/>
    </xf>
    <xf numFmtId="1" fontId="30" fillId="24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vertical="center"/>
    </xf>
    <xf numFmtId="2" fontId="31" fillId="0" borderId="10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2" fontId="31" fillId="0" borderId="0" xfId="0" applyNumberFormat="1" applyFont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192" fontId="31" fillId="0" borderId="17" xfId="0" applyNumberFormat="1" applyFont="1" applyFill="1" applyBorder="1" applyAlignment="1">
      <alignment horizontal="center" vertical="center"/>
    </xf>
    <xf numFmtId="192" fontId="31" fillId="0" borderId="11" xfId="0" applyNumberFormat="1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34" fillId="26" borderId="0" xfId="0" applyFont="1" applyFill="1" applyAlignment="1">
      <alignment vertical="center" wrapText="1"/>
    </xf>
    <xf numFmtId="2" fontId="50" fillId="0" borderId="10" xfId="0" applyNumberFormat="1" applyFont="1" applyFill="1" applyBorder="1" applyAlignment="1">
      <alignment horizontal="left" vertical="center"/>
    </xf>
    <xf numFmtId="1" fontId="51" fillId="0" borderId="10" xfId="0" applyNumberFormat="1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31" fillId="28" borderId="10" xfId="0" applyFont="1" applyFill="1" applyBorder="1" applyAlignment="1">
      <alignment horizontal="left" vertical="center"/>
    </xf>
    <xf numFmtId="0" fontId="31" fillId="28" borderId="10" xfId="0" applyFont="1" applyFill="1" applyBorder="1" applyAlignment="1">
      <alignment/>
    </xf>
    <xf numFmtId="0" fontId="0" fillId="28" borderId="10" xfId="50" applyFont="1" applyFill="1" applyBorder="1" applyAlignment="1">
      <alignment horizontal="left" vertical="center"/>
      <protection/>
    </xf>
    <xf numFmtId="4" fontId="0" fillId="28" borderId="10" xfId="50" applyNumberFormat="1" applyFont="1" applyFill="1" applyBorder="1" applyAlignment="1">
      <alignment horizontal="left" vertical="center"/>
      <protection/>
    </xf>
    <xf numFmtId="0" fontId="0" fillId="28" borderId="10" xfId="50" applyFont="1" applyFill="1" applyBorder="1" applyAlignment="1">
      <alignment horizontal="left" vertical="center" wrapText="1"/>
      <protection/>
    </xf>
    <xf numFmtId="0" fontId="0" fillId="28" borderId="10" xfId="0" applyFont="1" applyFill="1" applyBorder="1" applyAlignment="1">
      <alignment horizontal="left" vertical="center"/>
    </xf>
    <xf numFmtId="0" fontId="31" fillId="28" borderId="10" xfId="0" applyFont="1" applyFill="1" applyBorder="1" applyAlignment="1">
      <alignment horizontal="center" vertical="center"/>
    </xf>
    <xf numFmtId="0" fontId="31" fillId="28" borderId="10" xfId="0" applyFont="1" applyFill="1" applyBorder="1" applyAlignment="1">
      <alignment horizontal="left" vertical="center"/>
    </xf>
    <xf numFmtId="0" fontId="0" fillId="28" borderId="10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left" vertical="center"/>
    </xf>
    <xf numFmtId="0" fontId="0" fillId="28" borderId="10" xfId="0" applyFont="1" applyFill="1" applyBorder="1" applyAlignment="1">
      <alignment horizontal="left" vertical="center"/>
    </xf>
    <xf numFmtId="4" fontId="0" fillId="28" borderId="10" xfId="0" applyNumberFormat="1" applyFont="1" applyFill="1" applyBorder="1" applyAlignment="1">
      <alignment horizontal="left" vertical="center"/>
    </xf>
    <xf numFmtId="0" fontId="30" fillId="29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/>
    </xf>
    <xf numFmtId="0" fontId="0" fillId="28" borderId="10" xfId="0" applyFont="1" applyFill="1" applyBorder="1" applyAlignment="1">
      <alignment horizontal="center" wrapText="1"/>
    </xf>
    <xf numFmtId="0" fontId="31" fillId="28" borderId="10" xfId="0" applyFont="1" applyFill="1" applyBorder="1" applyAlignment="1">
      <alignment horizontal="left"/>
    </xf>
    <xf numFmtId="0" fontId="0" fillId="28" borderId="10" xfId="0" applyFont="1" applyFill="1" applyBorder="1" applyAlignment="1">
      <alignment horizontal="center" vertical="center"/>
    </xf>
    <xf numFmtId="0" fontId="0" fillId="28" borderId="10" xfId="0" applyFont="1" applyFill="1" applyBorder="1" applyAlignment="1">
      <alignment horizontal="center"/>
    </xf>
    <xf numFmtId="2" fontId="31" fillId="28" borderId="10" xfId="0" applyNumberFormat="1" applyFont="1" applyFill="1" applyBorder="1" applyAlignment="1">
      <alignment horizontal="left" vertical="center"/>
    </xf>
    <xf numFmtId="0" fontId="31" fillId="28" borderId="21" xfId="0" applyFont="1" applyFill="1" applyBorder="1" applyAlignment="1">
      <alignment horizontal="left" vertical="center"/>
    </xf>
    <xf numFmtId="0" fontId="31" fillId="28" borderId="15" xfId="0" applyFont="1" applyFill="1" applyBorder="1" applyAlignment="1">
      <alignment horizontal="left" vertical="center"/>
    </xf>
    <xf numFmtId="0" fontId="31" fillId="28" borderId="15" xfId="0" applyFont="1" applyFill="1" applyBorder="1" applyAlignment="1">
      <alignment horizontal="center" vertical="center"/>
    </xf>
    <xf numFmtId="0" fontId="31" fillId="28" borderId="17" xfId="0" applyFont="1" applyFill="1" applyBorder="1" applyAlignment="1">
      <alignment horizontal="left" vertical="center"/>
    </xf>
    <xf numFmtId="0" fontId="31" fillId="28" borderId="11" xfId="0" applyFont="1" applyFill="1" applyBorder="1" applyAlignment="1">
      <alignment horizontal="left" vertical="center"/>
    </xf>
    <xf numFmtId="0" fontId="31" fillId="28" borderId="11" xfId="0" applyFont="1" applyFill="1" applyBorder="1" applyAlignment="1">
      <alignment horizontal="center" vertical="center"/>
    </xf>
    <xf numFmtId="0" fontId="31" fillId="28" borderId="26" xfId="0" applyFont="1" applyFill="1" applyBorder="1" applyAlignment="1">
      <alignment horizontal="left" vertical="center"/>
    </xf>
    <xf numFmtId="0" fontId="31" fillId="28" borderId="0" xfId="0" applyFont="1" applyFill="1" applyBorder="1" applyAlignment="1">
      <alignment horizontal="center" vertical="center"/>
    </xf>
    <xf numFmtId="0" fontId="0" fillId="28" borderId="17" xfId="0" applyFont="1" applyFill="1" applyBorder="1" applyAlignment="1">
      <alignment horizontal="left" vertical="center"/>
    </xf>
    <xf numFmtId="0" fontId="31" fillId="28" borderId="23" xfId="0" applyFont="1" applyFill="1" applyBorder="1" applyAlignment="1">
      <alignment horizontal="center" vertical="center"/>
    </xf>
    <xf numFmtId="0" fontId="31" fillId="28" borderId="16" xfId="0" applyFont="1" applyFill="1" applyBorder="1" applyAlignment="1">
      <alignment horizontal="center" vertical="center"/>
    </xf>
    <xf numFmtId="0" fontId="31" fillId="28" borderId="18" xfId="0" applyFont="1" applyFill="1" applyBorder="1" applyAlignment="1">
      <alignment horizontal="center" vertical="center"/>
    </xf>
    <xf numFmtId="0" fontId="31" fillId="28" borderId="12" xfId="0" applyFont="1" applyFill="1" applyBorder="1" applyAlignment="1">
      <alignment horizontal="center" vertical="center"/>
    </xf>
    <xf numFmtId="0" fontId="31" fillId="28" borderId="18" xfId="0" applyFont="1" applyFill="1" applyBorder="1" applyAlignment="1">
      <alignment horizontal="left" vertical="center"/>
    </xf>
    <xf numFmtId="0" fontId="31" fillId="28" borderId="23" xfId="0" applyFont="1" applyFill="1" applyBorder="1" applyAlignment="1">
      <alignment horizontal="left" vertical="center"/>
    </xf>
    <xf numFmtId="0" fontId="31" fillId="28" borderId="19" xfId="0" applyFont="1" applyFill="1" applyBorder="1" applyAlignment="1">
      <alignment horizontal="center" vertical="center"/>
    </xf>
    <xf numFmtId="0" fontId="31" fillId="28" borderId="17" xfId="0" applyFont="1" applyFill="1" applyBorder="1" applyAlignment="1">
      <alignment horizontal="center" vertical="center"/>
    </xf>
    <xf numFmtId="0" fontId="0" fillId="28" borderId="17" xfId="0" applyFont="1" applyFill="1" applyBorder="1" applyAlignment="1">
      <alignment horizontal="left" vertical="center"/>
    </xf>
    <xf numFmtId="0" fontId="0" fillId="28" borderId="11" xfId="0" applyFont="1" applyFill="1" applyBorder="1" applyAlignment="1">
      <alignment horizontal="center" vertical="center"/>
    </xf>
    <xf numFmtId="0" fontId="0" fillId="28" borderId="26" xfId="0" applyFont="1" applyFill="1" applyBorder="1" applyAlignment="1">
      <alignment horizontal="left" vertical="center"/>
    </xf>
    <xf numFmtId="0" fontId="0" fillId="28" borderId="16" xfId="0" applyFont="1" applyFill="1" applyBorder="1" applyAlignment="1">
      <alignment horizontal="center" vertical="center"/>
    </xf>
    <xf numFmtId="0" fontId="0" fillId="28" borderId="11" xfId="0" applyFont="1" applyFill="1" applyBorder="1" applyAlignment="1">
      <alignment horizontal="center"/>
    </xf>
    <xf numFmtId="0" fontId="0" fillId="28" borderId="17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left" vertical="center"/>
    </xf>
    <xf numFmtId="0" fontId="0" fillId="28" borderId="16" xfId="0" applyFont="1" applyFill="1" applyBorder="1" applyAlignment="1">
      <alignment horizontal="left" vertical="center"/>
    </xf>
    <xf numFmtId="0" fontId="0" fillId="28" borderId="19" xfId="0" applyFont="1" applyFill="1" applyBorder="1" applyAlignment="1">
      <alignment horizontal="center"/>
    </xf>
    <xf numFmtId="0" fontId="0" fillId="28" borderId="29" xfId="0" applyFont="1" applyFill="1" applyBorder="1" applyAlignment="1">
      <alignment horizontal="center"/>
    </xf>
    <xf numFmtId="0" fontId="0" fillId="28" borderId="21" xfId="0" applyFont="1" applyFill="1" applyBorder="1" applyAlignment="1">
      <alignment horizontal="left" vertical="center"/>
    </xf>
    <xf numFmtId="0" fontId="0" fillId="28" borderId="10" xfId="0" applyFont="1" applyFill="1" applyBorder="1" applyAlignment="1">
      <alignment horizontal="center"/>
    </xf>
    <xf numFmtId="0" fontId="31" fillId="28" borderId="17" xfId="0" applyFont="1" applyFill="1" applyBorder="1" applyAlignment="1">
      <alignment horizontal="left" vertical="center"/>
    </xf>
    <xf numFmtId="0" fontId="0" fillId="28" borderId="10" xfId="50" applyFont="1" applyFill="1" applyBorder="1" applyAlignment="1">
      <alignment horizontal="center" vertical="center"/>
      <protection/>
    </xf>
    <xf numFmtId="0" fontId="0" fillId="28" borderId="10" xfId="0" applyFont="1" applyFill="1" applyBorder="1" applyAlignment="1">
      <alignment horizontal="center" vertical="center"/>
    </xf>
    <xf numFmtId="0" fontId="0" fillId="28" borderId="10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left" vertical="center"/>
    </xf>
    <xf numFmtId="4" fontId="0" fillId="28" borderId="10" xfId="0" applyNumberFormat="1" applyFont="1" applyFill="1" applyBorder="1" applyAlignment="1">
      <alignment horizontal="left" vertical="center"/>
    </xf>
    <xf numFmtId="0" fontId="0" fillId="28" borderId="10" xfId="0" applyFont="1" applyFill="1" applyBorder="1" applyAlignment="1">
      <alignment horizontal="center" wrapText="1"/>
    </xf>
    <xf numFmtId="4" fontId="0" fillId="28" borderId="10" xfId="0" applyNumberFormat="1" applyFont="1" applyFill="1" applyBorder="1" applyAlignment="1">
      <alignment horizontal="left" vertical="center"/>
    </xf>
    <xf numFmtId="0" fontId="0" fillId="28" borderId="10" xfId="0" applyFont="1" applyFill="1" applyBorder="1" applyAlignment="1">
      <alignment horizontal="center" vertical="top" wrapText="1"/>
    </xf>
    <xf numFmtId="0" fontId="0" fillId="28" borderId="10" xfId="0" applyFont="1" applyFill="1" applyBorder="1" applyAlignment="1">
      <alignment horizontal="center" vertical="center"/>
    </xf>
    <xf numFmtId="2" fontId="0" fillId="28" borderId="10" xfId="0" applyNumberFormat="1" applyFont="1" applyFill="1" applyBorder="1" applyAlignment="1">
      <alignment horizontal="left" vertical="center"/>
    </xf>
    <xf numFmtId="4" fontId="0" fillId="28" borderId="10" xfId="0" applyNumberFormat="1" applyFont="1" applyFill="1" applyBorder="1" applyAlignment="1">
      <alignment horizontal="left" vertical="center"/>
    </xf>
    <xf numFmtId="0" fontId="0" fillId="28" borderId="10" xfId="0" applyFont="1" applyFill="1" applyBorder="1" applyAlignment="1">
      <alignment vertical="center"/>
    </xf>
    <xf numFmtId="4" fontId="0" fillId="28" borderId="10" xfId="0" applyNumberFormat="1" applyFont="1" applyFill="1" applyBorder="1" applyAlignment="1">
      <alignment vertical="center"/>
    </xf>
    <xf numFmtId="0" fontId="0" fillId="28" borderId="10" xfId="0" applyFont="1" applyFill="1" applyBorder="1" applyAlignment="1">
      <alignment vertical="center"/>
    </xf>
    <xf numFmtId="0" fontId="31" fillId="28" borderId="10" xfId="0" applyFont="1" applyFill="1" applyBorder="1" applyAlignment="1">
      <alignment vertical="center"/>
    </xf>
    <xf numFmtId="0" fontId="31" fillId="28" borderId="10" xfId="0" applyFont="1" applyFill="1" applyBorder="1" applyAlignment="1">
      <alignment horizontal="center" vertical="center"/>
    </xf>
    <xf numFmtId="0" fontId="31" fillId="28" borderId="10" xfId="0" applyFont="1" applyFill="1" applyBorder="1" applyAlignment="1">
      <alignment horizontal="left" vertical="center" wrapText="1"/>
    </xf>
    <xf numFmtId="4" fontId="31" fillId="28" borderId="10" xfId="0" applyNumberFormat="1" applyFont="1" applyFill="1" applyBorder="1" applyAlignment="1">
      <alignment horizontal="left" vertical="center"/>
    </xf>
    <xf numFmtId="0" fontId="31" fillId="28" borderId="10" xfId="0" applyFont="1" applyFill="1" applyBorder="1" applyAlignment="1">
      <alignment horizontal="center"/>
    </xf>
    <xf numFmtId="0" fontId="31" fillId="28" borderId="10" xfId="0" applyFont="1" applyFill="1" applyBorder="1" applyAlignment="1">
      <alignment horizontal="center" wrapText="1"/>
    </xf>
    <xf numFmtId="0" fontId="31" fillId="28" borderId="10" xfId="0" applyFont="1" applyFill="1" applyBorder="1" applyAlignment="1">
      <alignment horizontal="left" vertical="top" wrapText="1"/>
    </xf>
    <xf numFmtId="2" fontId="31" fillId="28" borderId="10" xfId="0" applyNumberFormat="1" applyFont="1" applyFill="1" applyBorder="1" applyAlignment="1">
      <alignment horizontal="left" vertical="center"/>
    </xf>
    <xf numFmtId="0" fontId="31" fillId="28" borderId="10" xfId="0" applyNumberFormat="1" applyFont="1" applyFill="1" applyBorder="1" applyAlignment="1">
      <alignment horizontal="center" vertical="center"/>
    </xf>
    <xf numFmtId="0" fontId="31" fillId="28" borderId="10" xfId="0" applyFont="1" applyFill="1" applyBorder="1" applyAlignment="1">
      <alignment horizontal="center" vertical="top" wrapText="1"/>
    </xf>
    <xf numFmtId="0" fontId="31" fillId="28" borderId="10" xfId="0" applyFont="1" applyFill="1" applyBorder="1" applyAlignment="1">
      <alignment horizontal="left"/>
    </xf>
    <xf numFmtId="0" fontId="31" fillId="28" borderId="10" xfId="0" applyFont="1" applyFill="1" applyBorder="1" applyAlignment="1">
      <alignment horizontal="center" vertical="center" wrapText="1"/>
    </xf>
    <xf numFmtId="4" fontId="0" fillId="28" borderId="10" xfId="0" applyNumberFormat="1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17" xfId="0" applyFont="1" applyFill="1" applyBorder="1" applyAlignment="1">
      <alignment horizontal="left" vertical="center"/>
    </xf>
    <xf numFmtId="0" fontId="0" fillId="28" borderId="17" xfId="50" applyFont="1" applyFill="1" applyBorder="1" applyAlignment="1">
      <alignment horizontal="left" vertical="center"/>
      <protection/>
    </xf>
    <xf numFmtId="0" fontId="0" fillId="28" borderId="11" xfId="50" applyFont="1" applyFill="1" applyBorder="1" applyAlignment="1">
      <alignment horizontal="left" vertical="center" wrapText="1"/>
      <protection/>
    </xf>
    <xf numFmtId="0" fontId="0" fillId="28" borderId="11" xfId="50" applyFont="1" applyFill="1" applyBorder="1" applyAlignment="1">
      <alignment horizontal="left" vertical="center"/>
      <protection/>
    </xf>
    <xf numFmtId="0" fontId="31" fillId="28" borderId="16" xfId="0" applyFont="1" applyFill="1" applyBorder="1" applyAlignment="1">
      <alignment horizontal="left" vertical="center"/>
    </xf>
    <xf numFmtId="4" fontId="0" fillId="28" borderId="0" xfId="50" applyNumberFormat="1" applyFont="1" applyFill="1" applyBorder="1" applyAlignment="1">
      <alignment horizontal="left" vertical="center"/>
      <protection/>
    </xf>
    <xf numFmtId="0" fontId="31" fillId="28" borderId="0" xfId="0" applyFont="1" applyFill="1" applyBorder="1" applyAlignment="1">
      <alignment horizontal="left" vertical="center"/>
    </xf>
    <xf numFmtId="0" fontId="0" fillId="28" borderId="18" xfId="0" applyFont="1" applyFill="1" applyBorder="1" applyAlignment="1">
      <alignment horizontal="center"/>
    </xf>
    <xf numFmtId="4" fontId="0" fillId="28" borderId="11" xfId="0" applyNumberFormat="1" applyFont="1" applyFill="1" applyBorder="1" applyAlignment="1">
      <alignment horizontal="left" vertical="center"/>
    </xf>
    <xf numFmtId="0" fontId="0" fillId="28" borderId="26" xfId="0" applyFont="1" applyFill="1" applyBorder="1" applyAlignment="1">
      <alignment horizontal="left" vertical="center"/>
    </xf>
    <xf numFmtId="0" fontId="0" fillId="28" borderId="11" xfId="0" applyFont="1" applyFill="1" applyBorder="1" applyAlignment="1">
      <alignment horizontal="center"/>
    </xf>
    <xf numFmtId="0" fontId="31" fillId="28" borderId="10" xfId="0" applyFont="1" applyFill="1" applyBorder="1" applyAlignment="1">
      <alignment horizontal="left" vertical="top" wrapText="1"/>
    </xf>
    <xf numFmtId="0" fontId="31" fillId="28" borderId="10" xfId="0" applyFont="1" applyFill="1" applyBorder="1" applyAlignment="1">
      <alignment horizontal="center" vertical="top" wrapText="1"/>
    </xf>
    <xf numFmtId="0" fontId="0" fillId="28" borderId="11" xfId="0" applyFont="1" applyFill="1" applyBorder="1" applyAlignment="1">
      <alignment horizontal="center" vertical="center"/>
    </xf>
    <xf numFmtId="0" fontId="0" fillId="28" borderId="26" xfId="0" applyFont="1" applyFill="1" applyBorder="1" applyAlignment="1">
      <alignment horizontal="left" vertical="center"/>
    </xf>
    <xf numFmtId="0" fontId="0" fillId="28" borderId="17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left" vertical="center"/>
    </xf>
    <xf numFmtId="0" fontId="0" fillId="28" borderId="17" xfId="0" applyFont="1" applyFill="1" applyBorder="1" applyAlignment="1">
      <alignment horizontal="center" vertical="center"/>
    </xf>
    <xf numFmtId="0" fontId="0" fillId="28" borderId="26" xfId="0" applyFont="1" applyFill="1" applyBorder="1" applyAlignment="1">
      <alignment horizontal="center"/>
    </xf>
    <xf numFmtId="0" fontId="0" fillId="28" borderId="29" xfId="0" applyFont="1" applyFill="1" applyBorder="1" applyAlignment="1">
      <alignment horizontal="left" vertical="center"/>
    </xf>
    <xf numFmtId="0" fontId="0" fillId="28" borderId="17" xfId="0" applyFont="1" applyFill="1" applyBorder="1" applyAlignment="1">
      <alignment horizontal="center"/>
    </xf>
    <xf numFmtId="0" fontId="31" fillId="28" borderId="10" xfId="0" applyNumberFormat="1" applyFont="1" applyFill="1" applyBorder="1" applyAlignment="1">
      <alignment horizontal="left" vertical="center"/>
    </xf>
    <xf numFmtId="0" fontId="31" fillId="28" borderId="10" xfId="0" applyNumberFormat="1" applyFont="1" applyFill="1" applyBorder="1" applyAlignment="1">
      <alignment horizontal="center" vertical="center"/>
    </xf>
    <xf numFmtId="0" fontId="0" fillId="28" borderId="15" xfId="0" applyFont="1" applyFill="1" applyBorder="1" applyAlignment="1">
      <alignment horizontal="left" vertical="center"/>
    </xf>
    <xf numFmtId="0" fontId="0" fillId="28" borderId="21" xfId="0" applyFont="1" applyFill="1" applyBorder="1" applyAlignment="1">
      <alignment horizontal="center" vertical="center"/>
    </xf>
    <xf numFmtId="2" fontId="0" fillId="28" borderId="17" xfId="0" applyNumberFormat="1" applyFont="1" applyFill="1" applyBorder="1" applyAlignment="1">
      <alignment horizontal="left" vertical="center"/>
    </xf>
    <xf numFmtId="0" fontId="31" fillId="28" borderId="24" xfId="0" applyFont="1" applyFill="1" applyBorder="1" applyAlignment="1">
      <alignment horizontal="center" vertical="center"/>
    </xf>
    <xf numFmtId="4" fontId="0" fillId="28" borderId="17" xfId="0" applyNumberFormat="1" applyFont="1" applyFill="1" applyBorder="1" applyAlignment="1">
      <alignment horizontal="left" vertical="center"/>
    </xf>
    <xf numFmtId="4" fontId="0" fillId="28" borderId="26" xfId="0" applyNumberFormat="1" applyFont="1" applyFill="1" applyBorder="1" applyAlignment="1">
      <alignment horizontal="left" vertical="center"/>
    </xf>
    <xf numFmtId="0" fontId="0" fillId="28" borderId="17" xfId="0" applyFont="1" applyFill="1" applyBorder="1" applyAlignment="1">
      <alignment horizontal="left" vertical="center"/>
    </xf>
    <xf numFmtId="4" fontId="0" fillId="28" borderId="21" xfId="0" applyNumberFormat="1" applyFont="1" applyFill="1" applyBorder="1" applyAlignment="1">
      <alignment horizontal="left" vertical="center"/>
    </xf>
    <xf numFmtId="4" fontId="0" fillId="28" borderId="26" xfId="0" applyNumberFormat="1" applyFont="1" applyFill="1" applyBorder="1" applyAlignment="1">
      <alignment horizontal="left" vertical="center"/>
    </xf>
    <xf numFmtId="0" fontId="0" fillId="28" borderId="0" xfId="0" applyFont="1" applyFill="1" applyAlignment="1">
      <alignment horizontal="center" wrapText="1"/>
    </xf>
    <xf numFmtId="0" fontId="0" fillId="28" borderId="11" xfId="0" applyFont="1" applyFill="1" applyBorder="1" applyAlignment="1">
      <alignment horizontal="left" vertical="center"/>
    </xf>
    <xf numFmtId="0" fontId="0" fillId="28" borderId="25" xfId="0" applyFont="1" applyFill="1" applyBorder="1" applyAlignment="1">
      <alignment horizontal="center" wrapText="1"/>
    </xf>
    <xf numFmtId="4" fontId="0" fillId="28" borderId="11" xfId="0" applyNumberFormat="1" applyFont="1" applyFill="1" applyBorder="1" applyAlignment="1">
      <alignment horizontal="left" vertical="center"/>
    </xf>
    <xf numFmtId="0" fontId="31" fillId="28" borderId="10" xfId="0" applyFont="1" applyFill="1" applyBorder="1" applyAlignment="1">
      <alignment horizontal="left" vertical="center" wrapText="1"/>
    </xf>
    <xf numFmtId="0" fontId="0" fillId="28" borderId="10" xfId="0" applyFont="1" applyFill="1" applyBorder="1" applyAlignment="1">
      <alignment horizontal="center"/>
    </xf>
    <xf numFmtId="2" fontId="0" fillId="28" borderId="10" xfId="0" applyNumberFormat="1" applyFont="1" applyFill="1" applyBorder="1" applyAlignment="1">
      <alignment horizontal="left" vertical="center"/>
    </xf>
    <xf numFmtId="0" fontId="0" fillId="28" borderId="10" xfId="0" applyFill="1" applyBorder="1" applyAlignment="1">
      <alignment horizontal="left" vertical="center"/>
    </xf>
    <xf numFmtId="0" fontId="0" fillId="28" borderId="10" xfId="0" applyFont="1" applyFill="1" applyBorder="1" applyAlignment="1">
      <alignment horizontal="left"/>
    </xf>
    <xf numFmtId="4" fontId="0" fillId="28" borderId="10" xfId="0" applyNumberFormat="1" applyFill="1" applyBorder="1" applyAlignment="1">
      <alignment horizontal="left" vertical="center"/>
    </xf>
    <xf numFmtId="0" fontId="31" fillId="28" borderId="10" xfId="0" applyNumberFormat="1" applyFont="1" applyFill="1" applyBorder="1" applyAlignment="1">
      <alignment horizontal="center" vertical="top" wrapText="1"/>
    </xf>
    <xf numFmtId="0" fontId="0" fillId="28" borderId="10" xfId="0" applyFont="1" applyFill="1" applyBorder="1" applyAlignment="1">
      <alignment horizontal="center" vertical="center" wrapText="1"/>
    </xf>
    <xf numFmtId="2" fontId="0" fillId="28" borderId="10" xfId="0" applyNumberFormat="1" applyFont="1" applyFill="1" applyBorder="1" applyAlignment="1">
      <alignment horizontal="center" vertical="center"/>
    </xf>
    <xf numFmtId="4" fontId="0" fillId="28" borderId="10" xfId="0" applyNumberFormat="1" applyFont="1" applyFill="1" applyBorder="1" applyAlignment="1">
      <alignment horizontal="center" vertical="top" wrapText="1"/>
    </xf>
    <xf numFmtId="4" fontId="0" fillId="28" borderId="10" xfId="0" applyNumberFormat="1" applyFont="1" applyFill="1" applyBorder="1" applyAlignment="1">
      <alignment horizontal="center" vertical="center" wrapText="1"/>
    </xf>
    <xf numFmtId="4" fontId="0" fillId="28" borderId="10" xfId="0" applyNumberFormat="1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center"/>
    </xf>
    <xf numFmtId="0" fontId="27" fillId="26" borderId="1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wrapText="1"/>
    </xf>
    <xf numFmtId="0" fontId="27" fillId="26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17" fontId="30" fillId="24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wrapText="1"/>
    </xf>
    <xf numFmtId="0" fontId="31" fillId="0" borderId="10" xfId="0" applyFont="1" applyFill="1" applyBorder="1" applyAlignment="1">
      <alignment horizontal="center" wrapText="1"/>
    </xf>
    <xf numFmtId="0" fontId="30" fillId="26" borderId="10" xfId="0" applyFont="1" applyFill="1" applyBorder="1" applyAlignment="1">
      <alignment/>
    </xf>
    <xf numFmtId="0" fontId="30" fillId="26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wrapText="1"/>
    </xf>
    <xf numFmtId="0" fontId="27" fillId="26" borderId="1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27" fillId="26" borderId="10" xfId="0" applyFont="1" applyFill="1" applyBorder="1" applyAlignment="1">
      <alignment/>
    </xf>
    <xf numFmtId="0" fontId="30" fillId="0" borderId="36" xfId="0" applyFont="1" applyFill="1" applyBorder="1" applyAlignment="1">
      <alignment/>
    </xf>
    <xf numFmtId="0" fontId="30" fillId="0" borderId="0" xfId="0" applyFont="1" applyFill="1" applyAlignment="1">
      <alignment/>
    </xf>
    <xf numFmtId="0" fontId="27" fillId="0" borderId="36" xfId="0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wrapText="1"/>
    </xf>
    <xf numFmtId="0" fontId="27" fillId="0" borderId="36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0" fontId="30" fillId="0" borderId="0" xfId="0" applyFont="1" applyBorder="1" applyAlignment="1">
      <alignment horizontal="left"/>
    </xf>
    <xf numFmtId="0" fontId="31" fillId="0" borderId="10" xfId="0" applyFont="1" applyFill="1" applyBorder="1" applyAlignment="1">
      <alignment horizontal="left"/>
    </xf>
    <xf numFmtId="0" fontId="27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189" fontId="27" fillId="0" borderId="0" xfId="44" applyNumberFormat="1" applyFont="1" applyFill="1" applyBorder="1" applyAlignment="1">
      <alignment/>
    </xf>
    <xf numFmtId="189" fontId="27" fillId="0" borderId="0" xfId="44" applyNumberFormat="1" applyFont="1" applyFill="1" applyBorder="1" applyAlignment="1">
      <alignment shrinkToFit="1"/>
    </xf>
    <xf numFmtId="0" fontId="31" fillId="0" borderId="37" xfId="0" applyFont="1" applyBorder="1" applyAlignment="1">
      <alignment horizontal="center"/>
    </xf>
    <xf numFmtId="0" fontId="30" fillId="24" borderId="25" xfId="0" applyFont="1" applyFill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31" fillId="0" borderId="18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18" xfId="0" applyFont="1" applyBorder="1" applyAlignment="1">
      <alignment horizontal="left" wrapText="1"/>
    </xf>
    <xf numFmtId="0" fontId="31" fillId="0" borderId="25" xfId="0" applyFont="1" applyBorder="1" applyAlignment="1">
      <alignment horizontal="left" wrapText="1"/>
    </xf>
    <xf numFmtId="0" fontId="30" fillId="24" borderId="18" xfId="0" applyFont="1" applyFill="1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34" xfId="0" applyFont="1" applyFill="1" applyBorder="1" applyAlignment="1">
      <alignment horizontal="center" vertical="center" wrapText="1"/>
    </xf>
    <xf numFmtId="2" fontId="30" fillId="26" borderId="18" xfId="0" applyNumberFormat="1" applyFont="1" applyFill="1" applyBorder="1" applyAlignment="1">
      <alignment horizontal="center" vertical="center"/>
    </xf>
    <xf numFmtId="2" fontId="30" fillId="26" borderId="2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30" fillId="26" borderId="18" xfId="0" applyFont="1" applyFill="1" applyBorder="1" applyAlignment="1">
      <alignment horizontal="left" vertical="center"/>
    </xf>
    <xf numFmtId="0" fontId="30" fillId="26" borderId="34" xfId="0" applyFont="1" applyFill="1" applyBorder="1" applyAlignment="1">
      <alignment horizontal="left" vertical="center"/>
    </xf>
    <xf numFmtId="0" fontId="30" fillId="26" borderId="25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34" xfId="0" applyFont="1" applyBorder="1" applyAlignment="1">
      <alignment horizontal="left"/>
    </xf>
    <xf numFmtId="0" fontId="27" fillId="26" borderId="1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5" xfId="0" applyFont="1" applyBorder="1" applyAlignment="1">
      <alignment horizontal="left"/>
    </xf>
    <xf numFmtId="0" fontId="31" fillId="0" borderId="10" xfId="0" applyFont="1" applyBorder="1" applyAlignment="1">
      <alignment horizontal="center" wrapText="1"/>
    </xf>
    <xf numFmtId="0" fontId="27" fillId="0" borderId="38" xfId="0" applyFont="1" applyFill="1" applyBorder="1" applyAlignment="1">
      <alignment horizontal="center" wrapText="1"/>
    </xf>
    <xf numFmtId="0" fontId="27" fillId="25" borderId="18" xfId="0" applyFont="1" applyFill="1" applyBorder="1" applyAlignment="1">
      <alignment horizontal="center" vertical="center"/>
    </xf>
    <xf numFmtId="0" fontId="27" fillId="25" borderId="25" xfId="0" applyFont="1" applyFill="1" applyBorder="1" applyAlignment="1">
      <alignment horizontal="center" vertical="center"/>
    </xf>
    <xf numFmtId="0" fontId="27" fillId="26" borderId="25" xfId="0" applyFont="1" applyFill="1" applyBorder="1" applyAlignment="1">
      <alignment horizontal="left"/>
    </xf>
    <xf numFmtId="0" fontId="27" fillId="26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wrapText="1"/>
    </xf>
    <xf numFmtId="0" fontId="27" fillId="26" borderId="10" xfId="0" applyFont="1" applyFill="1" applyBorder="1" applyAlignment="1">
      <alignment/>
    </xf>
    <xf numFmtId="0" fontId="30" fillId="0" borderId="1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/>
    </xf>
    <xf numFmtId="0" fontId="27" fillId="26" borderId="10" xfId="0" applyFont="1" applyFill="1" applyBorder="1" applyAlignment="1">
      <alignment horizontal="left"/>
    </xf>
    <xf numFmtId="0" fontId="27" fillId="0" borderId="36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/>
    </xf>
    <xf numFmtId="0" fontId="27" fillId="0" borderId="39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28" fillId="0" borderId="18" xfId="0" applyFont="1" applyFill="1" applyBorder="1" applyAlignment="1">
      <alignment horizontal="left" wrapText="1"/>
    </xf>
    <xf numFmtId="0" fontId="28" fillId="0" borderId="34" xfId="0" applyFont="1" applyFill="1" applyBorder="1" applyAlignment="1">
      <alignment horizontal="left" wrapText="1"/>
    </xf>
    <xf numFmtId="0" fontId="30" fillId="0" borderId="34" xfId="0" applyFont="1" applyFill="1" applyBorder="1" applyAlignment="1">
      <alignment horizontal="right" wrapText="1"/>
    </xf>
    <xf numFmtId="0" fontId="30" fillId="0" borderId="25" xfId="0" applyFont="1" applyFill="1" applyBorder="1" applyAlignment="1">
      <alignment horizontal="right" wrapText="1"/>
    </xf>
    <xf numFmtId="0" fontId="30" fillId="26" borderId="34" xfId="0" applyFont="1" applyFill="1" applyBorder="1" applyAlignment="1">
      <alignment horizontal="center" vertical="center" wrapText="1"/>
    </xf>
    <xf numFmtId="0" fontId="30" fillId="26" borderId="2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wrapText="1"/>
    </xf>
    <xf numFmtId="0" fontId="27" fillId="26" borderId="18" xfId="0" applyFont="1" applyFill="1" applyBorder="1" applyAlignment="1">
      <alignment horizontal="left"/>
    </xf>
    <xf numFmtId="0" fontId="27" fillId="26" borderId="34" xfId="0" applyFont="1" applyFill="1" applyBorder="1" applyAlignment="1">
      <alignment horizontal="left"/>
    </xf>
    <xf numFmtId="164" fontId="30" fillId="26" borderId="18" xfId="0" applyNumberFormat="1" applyFont="1" applyFill="1" applyBorder="1" applyAlignment="1">
      <alignment horizontal="center" vertical="center" wrapText="1"/>
    </xf>
    <xf numFmtId="164" fontId="27" fillId="26" borderId="34" xfId="0" applyNumberFormat="1" applyFont="1" applyFill="1" applyBorder="1" applyAlignment="1">
      <alignment horizontal="center" vertical="center"/>
    </xf>
    <xf numFmtId="164" fontId="27" fillId="26" borderId="25" xfId="0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left" vertical="center"/>
    </xf>
    <xf numFmtId="0" fontId="28" fillId="0" borderId="34" xfId="0" applyFont="1" applyBorder="1" applyAlignment="1">
      <alignment horizontal="left" vertical="center"/>
    </xf>
    <xf numFmtId="0" fontId="30" fillId="26" borderId="18" xfId="0" applyFont="1" applyFill="1" applyBorder="1" applyAlignment="1">
      <alignment horizontal="center" vertical="center" wrapText="1"/>
    </xf>
    <xf numFmtId="0" fontId="27" fillId="26" borderId="34" xfId="0" applyFont="1" applyFill="1" applyBorder="1" applyAlignment="1">
      <alignment horizontal="center" vertical="center" wrapText="1"/>
    </xf>
    <xf numFmtId="0" fontId="27" fillId="26" borderId="34" xfId="0" applyFont="1" applyFill="1" applyBorder="1" applyAlignment="1">
      <alignment horizontal="center" vertical="center"/>
    </xf>
    <xf numFmtId="0" fontId="27" fillId="26" borderId="25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left" vertical="center"/>
    </xf>
    <xf numFmtId="0" fontId="28" fillId="0" borderId="34" xfId="0" applyFont="1" applyBorder="1" applyAlignment="1">
      <alignment horizontal="left" vertical="center"/>
    </xf>
    <xf numFmtId="0" fontId="27" fillId="24" borderId="10" xfId="0" applyFont="1" applyFill="1" applyBorder="1" applyAlignment="1">
      <alignment horizontal="center"/>
    </xf>
    <xf numFmtId="0" fontId="30" fillId="26" borderId="18" xfId="0" applyFont="1" applyFill="1" applyBorder="1" applyAlignment="1">
      <alignment horizontal="center" vertical="center"/>
    </xf>
    <xf numFmtId="0" fontId="30" fillId="26" borderId="25" xfId="0" applyFont="1" applyFill="1" applyBorder="1" applyAlignment="1">
      <alignment horizontal="center" vertical="center"/>
    </xf>
    <xf numFmtId="0" fontId="27" fillId="26" borderId="18" xfId="0" applyFont="1" applyFill="1" applyBorder="1" applyAlignment="1">
      <alignment horizontal="center"/>
    </xf>
    <xf numFmtId="0" fontId="27" fillId="26" borderId="25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left" vertical="center" wrapText="1"/>
    </xf>
    <xf numFmtId="0" fontId="30" fillId="0" borderId="34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30" fillId="26" borderId="19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/>
    </xf>
    <xf numFmtId="0" fontId="25" fillId="25" borderId="18" xfId="0" applyFont="1" applyFill="1" applyBorder="1" applyAlignment="1">
      <alignment horizontal="center" vertical="center"/>
    </xf>
    <xf numFmtId="0" fontId="25" fillId="25" borderId="25" xfId="0" applyFont="1" applyFill="1" applyBorder="1" applyAlignment="1">
      <alignment horizontal="center" vertical="center"/>
    </xf>
    <xf numFmtId="2" fontId="22" fillId="26" borderId="10" xfId="0" applyNumberFormat="1" applyFont="1" applyFill="1" applyBorder="1" applyAlignment="1">
      <alignment horizontal="center" vertical="center"/>
    </xf>
    <xf numFmtId="2" fontId="22" fillId="26" borderId="18" xfId="0" applyNumberFormat="1" applyFont="1" applyFill="1" applyBorder="1" applyAlignment="1">
      <alignment horizontal="center" vertical="center"/>
    </xf>
    <xf numFmtId="2" fontId="22" fillId="26" borderId="25" xfId="0" applyNumberFormat="1" applyFont="1" applyFill="1" applyBorder="1" applyAlignment="1">
      <alignment horizontal="center" vertical="center"/>
    </xf>
    <xf numFmtId="0" fontId="48" fillId="0" borderId="34" xfId="0" applyFont="1" applyBorder="1" applyAlignment="1">
      <alignment horizontal="right" vertical="center"/>
    </xf>
    <xf numFmtId="0" fontId="48" fillId="0" borderId="25" xfId="0" applyFont="1" applyBorder="1" applyAlignment="1">
      <alignment horizontal="right" vertical="center"/>
    </xf>
    <xf numFmtId="0" fontId="22" fillId="26" borderId="10" xfId="0" applyFont="1" applyFill="1" applyBorder="1" applyAlignment="1">
      <alignment horizontal="center" vertical="center"/>
    </xf>
    <xf numFmtId="2" fontId="30" fillId="26" borderId="10" xfId="0" applyNumberFormat="1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/>
    </xf>
    <xf numFmtId="0" fontId="28" fillId="0" borderId="25" xfId="0" applyFont="1" applyBorder="1" applyAlignment="1">
      <alignment horizontal="left" vertical="center"/>
    </xf>
    <xf numFmtId="0" fontId="30" fillId="26" borderId="18" xfId="0" applyFont="1" applyFill="1" applyBorder="1" applyAlignment="1">
      <alignment horizontal="center" vertical="center" wrapText="1"/>
    </xf>
    <xf numFmtId="0" fontId="30" fillId="26" borderId="34" xfId="0" applyFont="1" applyFill="1" applyBorder="1" applyAlignment="1">
      <alignment horizontal="center" vertical="center" wrapText="1"/>
    </xf>
    <xf numFmtId="0" fontId="30" fillId="26" borderId="25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 wrapText="1"/>
    </xf>
    <xf numFmtId="0" fontId="31" fillId="28" borderId="10" xfId="0" applyFont="1" applyFill="1" applyBorder="1" applyAlignment="1">
      <alignment horizontal="center" vertical="center"/>
    </xf>
    <xf numFmtId="164" fontId="31" fillId="0" borderId="10" xfId="0" applyNumberFormat="1" applyFont="1" applyFill="1" applyBorder="1" applyAlignment="1">
      <alignment horizontal="right" vertical="center"/>
    </xf>
    <xf numFmtId="0" fontId="27" fillId="25" borderId="10" xfId="0" applyFont="1" applyFill="1" applyBorder="1" applyAlignment="1">
      <alignment horizontal="center" vertical="center"/>
    </xf>
    <xf numFmtId="164" fontId="31" fillId="0" borderId="10" xfId="0" applyNumberFormat="1" applyFont="1" applyFill="1" applyBorder="1" applyAlignment="1">
      <alignment horizontal="right" vertical="center" wrapText="1"/>
    </xf>
    <xf numFmtId="164" fontId="31" fillId="0" borderId="10" xfId="0" applyNumberFormat="1" applyFont="1" applyFill="1" applyBorder="1" applyAlignment="1">
      <alignment vertical="top" wrapText="1"/>
    </xf>
    <xf numFmtId="0" fontId="30" fillId="27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horizontal="center"/>
    </xf>
    <xf numFmtId="0" fontId="29" fillId="26" borderId="34" xfId="0" applyFont="1" applyFill="1" applyBorder="1" applyAlignment="1">
      <alignment horizontal="center" vertical="center" wrapText="1"/>
    </xf>
    <xf numFmtId="0" fontId="29" fillId="26" borderId="25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2" fontId="30" fillId="26" borderId="18" xfId="0" applyNumberFormat="1" applyFont="1" applyFill="1" applyBorder="1" applyAlignment="1">
      <alignment horizontal="center" vertical="center"/>
    </xf>
    <xf numFmtId="2" fontId="30" fillId="26" borderId="25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9" fillId="26" borderId="10" xfId="0" applyFont="1" applyFill="1" applyBorder="1" applyAlignment="1">
      <alignment horizontal="center" vertical="center" wrapText="1"/>
    </xf>
    <xf numFmtId="2" fontId="30" fillId="26" borderId="40" xfId="0" applyNumberFormat="1" applyFont="1" applyFill="1" applyBorder="1" applyAlignment="1">
      <alignment horizontal="center" vertical="center"/>
    </xf>
    <xf numFmtId="2" fontId="30" fillId="26" borderId="41" xfId="0" applyNumberFormat="1" applyFont="1" applyFill="1" applyBorder="1" applyAlignment="1">
      <alignment horizontal="center" vertical="center"/>
    </xf>
    <xf numFmtId="0" fontId="27" fillId="25" borderId="42" xfId="0" applyFont="1" applyFill="1" applyBorder="1" applyAlignment="1">
      <alignment horizontal="center" vertical="center"/>
    </xf>
    <xf numFmtId="0" fontId="27" fillId="25" borderId="43" xfId="0" applyFont="1" applyFill="1" applyBorder="1" applyAlignment="1">
      <alignment horizontal="center" vertical="center"/>
    </xf>
    <xf numFmtId="2" fontId="30" fillId="26" borderId="11" xfId="0" applyNumberFormat="1" applyFont="1" applyFill="1" applyBorder="1" applyAlignment="1">
      <alignment horizontal="center" vertical="center"/>
    </xf>
    <xf numFmtId="2" fontId="30" fillId="26" borderId="29" xfId="0" applyNumberFormat="1" applyFont="1" applyFill="1" applyBorder="1" applyAlignment="1">
      <alignment horizontal="center" vertical="center"/>
    </xf>
    <xf numFmtId="0" fontId="27" fillId="25" borderId="4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 wrapText="1"/>
    </xf>
    <xf numFmtId="0" fontId="50" fillId="0" borderId="29" xfId="0" applyFont="1" applyFill="1" applyBorder="1" applyAlignment="1">
      <alignment horizontal="left" vertical="center" wrapText="1"/>
    </xf>
    <xf numFmtId="0" fontId="30" fillId="26" borderId="18" xfId="0" applyFont="1" applyFill="1" applyBorder="1" applyAlignment="1">
      <alignment horizontal="center" vertical="center"/>
    </xf>
    <xf numFmtId="0" fontId="30" fillId="26" borderId="45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 wrapText="1"/>
    </xf>
    <xf numFmtId="0" fontId="50" fillId="0" borderId="29" xfId="0" applyFont="1" applyFill="1" applyBorder="1" applyAlignment="1">
      <alignment horizontal="left" vertical="center" wrapText="1"/>
    </xf>
    <xf numFmtId="0" fontId="50" fillId="0" borderId="42" xfId="0" applyFont="1" applyFill="1" applyBorder="1" applyAlignment="1">
      <alignment horizontal="left" vertical="center" wrapText="1"/>
    </xf>
    <xf numFmtId="0" fontId="50" fillId="0" borderId="43" xfId="0" applyFont="1" applyFill="1" applyBorder="1" applyAlignment="1">
      <alignment horizontal="left" vertical="center" wrapText="1"/>
    </xf>
    <xf numFmtId="0" fontId="27" fillId="25" borderId="46" xfId="0" applyFont="1" applyFill="1" applyBorder="1" applyAlignment="1">
      <alignment horizontal="center" vertical="center"/>
    </xf>
    <xf numFmtId="0" fontId="27" fillId="25" borderId="45" xfId="0" applyFont="1" applyFill="1" applyBorder="1" applyAlignment="1">
      <alignment horizontal="center" vertical="center"/>
    </xf>
    <xf numFmtId="2" fontId="30" fillId="26" borderId="15" xfId="0" applyNumberFormat="1" applyFont="1" applyFill="1" applyBorder="1" applyAlignment="1">
      <alignment horizontal="center" vertical="center"/>
    </xf>
    <xf numFmtId="2" fontId="30" fillId="26" borderId="47" xfId="0" applyNumberFormat="1" applyFont="1" applyFill="1" applyBorder="1" applyAlignment="1">
      <alignment horizontal="center" vertical="center"/>
    </xf>
    <xf numFmtId="0" fontId="27" fillId="25" borderId="18" xfId="0" applyFont="1" applyFill="1" applyBorder="1" applyAlignment="1">
      <alignment horizontal="center" vertical="center"/>
    </xf>
    <xf numFmtId="0" fontId="27" fillId="25" borderId="25" xfId="0" applyFont="1" applyFill="1" applyBorder="1" applyAlignment="1">
      <alignment horizontal="center" vertical="center"/>
    </xf>
    <xf numFmtId="0" fontId="27" fillId="26" borderId="18" xfId="0" applyFont="1" applyFill="1" applyBorder="1" applyAlignment="1">
      <alignment horizontal="center" vertical="center"/>
    </xf>
    <xf numFmtId="0" fontId="27" fillId="26" borderId="25" xfId="0" applyFont="1" applyFill="1" applyBorder="1" applyAlignment="1">
      <alignment horizontal="center" vertical="center"/>
    </xf>
    <xf numFmtId="0" fontId="30" fillId="26" borderId="11" xfId="0" applyFont="1" applyFill="1" applyBorder="1" applyAlignment="1">
      <alignment horizontal="center" vertical="center"/>
    </xf>
    <xf numFmtId="0" fontId="30" fillId="26" borderId="48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left" vertical="center" wrapText="1"/>
    </xf>
    <xf numFmtId="0" fontId="50" fillId="0" borderId="40" xfId="0" applyFont="1" applyFill="1" applyBorder="1" applyAlignment="1">
      <alignment horizontal="left" vertical="center" wrapText="1"/>
    </xf>
    <xf numFmtId="0" fontId="50" fillId="0" borderId="41" xfId="0" applyFont="1" applyFill="1" applyBorder="1" applyAlignment="1">
      <alignment horizontal="left" vertical="center" wrapText="1"/>
    </xf>
    <xf numFmtId="0" fontId="29" fillId="26" borderId="10" xfId="0" applyFont="1" applyFill="1" applyBorder="1" applyAlignment="1">
      <alignment/>
    </xf>
    <xf numFmtId="0" fontId="28" fillId="0" borderId="18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29" fillId="26" borderId="19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left" vertical="center" wrapText="1"/>
    </xf>
    <xf numFmtId="0" fontId="50" fillId="0" borderId="25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49" fillId="26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164" fontId="31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28" fillId="0" borderId="18" xfId="0" applyNumberFormat="1" applyFont="1" applyBorder="1" applyAlignment="1">
      <alignment horizontal="left" vertical="center"/>
    </xf>
    <xf numFmtId="164" fontId="28" fillId="0" borderId="34" xfId="0" applyNumberFormat="1" applyFont="1" applyBorder="1" applyAlignment="1">
      <alignment horizontal="left" vertical="center"/>
    </xf>
    <xf numFmtId="0" fontId="18" fillId="26" borderId="10" xfId="0" applyFont="1" applyFill="1" applyBorder="1" applyAlignment="1">
      <alignment horizontal="center" vertical="center" wrapText="1"/>
    </xf>
    <xf numFmtId="2" fontId="52" fillId="0" borderId="18" xfId="0" applyNumberFormat="1" applyFont="1" applyFill="1" applyBorder="1" applyAlignment="1">
      <alignment horizontal="left" vertical="center"/>
    </xf>
    <xf numFmtId="2" fontId="52" fillId="0" borderId="25" xfId="0" applyNumberFormat="1" applyFont="1" applyFill="1" applyBorder="1" applyAlignment="1">
      <alignment horizontal="left" vertical="center"/>
    </xf>
    <xf numFmtId="0" fontId="25" fillId="26" borderId="10" xfId="0" applyFont="1" applyFill="1" applyBorder="1" applyAlignment="1">
      <alignment horizontal="center" vertical="center"/>
    </xf>
    <xf numFmtId="0" fontId="18" fillId="26" borderId="34" xfId="0" applyFont="1" applyFill="1" applyBorder="1" applyAlignment="1">
      <alignment horizontal="center" vertical="center" wrapText="1"/>
    </xf>
    <xf numFmtId="0" fontId="18" fillId="26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64" fontId="28" fillId="0" borderId="18" xfId="0" applyNumberFormat="1" applyFont="1" applyBorder="1" applyAlignment="1">
      <alignment horizontal="left" vertical="center"/>
    </xf>
    <xf numFmtId="164" fontId="28" fillId="0" borderId="34" xfId="0" applyNumberFormat="1" applyFont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164" fontId="31" fillId="0" borderId="10" xfId="0" applyNumberFormat="1" applyFont="1" applyFill="1" applyBorder="1" applyAlignment="1">
      <alignment horizontal="right" vertical="center"/>
    </xf>
    <xf numFmtId="2" fontId="30" fillId="26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center"/>
    </xf>
    <xf numFmtId="2" fontId="30" fillId="26" borderId="10" xfId="0" applyNumberFormat="1" applyFont="1" applyFill="1" applyBorder="1" applyAlignment="1">
      <alignment horizontal="left" vertical="center"/>
    </xf>
    <xf numFmtId="0" fontId="27" fillId="26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2" fontId="50" fillId="0" borderId="18" xfId="0" applyNumberFormat="1" applyFont="1" applyFill="1" applyBorder="1" applyAlignment="1">
      <alignment horizontal="left" vertical="center"/>
    </xf>
    <xf numFmtId="2" fontId="50" fillId="0" borderId="25" xfId="0" applyNumberFormat="1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28" fillId="0" borderId="34" xfId="0" applyFont="1" applyBorder="1" applyAlignment="1">
      <alignment horizontal="right" vertical="center"/>
    </xf>
    <xf numFmtId="0" fontId="28" fillId="0" borderId="25" xfId="0" applyFont="1" applyBorder="1" applyAlignment="1">
      <alignment horizontal="right" vertical="center"/>
    </xf>
    <xf numFmtId="0" fontId="25" fillId="26" borderId="18" xfId="0" applyFont="1" applyFill="1" applyBorder="1" applyAlignment="1">
      <alignment horizontal="center" vertical="center"/>
    </xf>
    <xf numFmtId="0" fontId="25" fillId="26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26" borderId="49" xfId="0" applyFont="1" applyFill="1" applyBorder="1" applyAlignment="1">
      <alignment horizontal="center" vertical="center"/>
    </xf>
    <xf numFmtId="0" fontId="30" fillId="26" borderId="43" xfId="0" applyFont="1" applyFill="1" applyBorder="1" applyAlignment="1">
      <alignment horizontal="center" vertical="center"/>
    </xf>
    <xf numFmtId="0" fontId="30" fillId="26" borderId="25" xfId="0" applyFont="1" applyFill="1" applyBorder="1" applyAlignment="1">
      <alignment horizontal="center" vertical="center"/>
    </xf>
    <xf numFmtId="0" fontId="30" fillId="26" borderId="50" xfId="0" applyFont="1" applyFill="1" applyBorder="1" applyAlignment="1">
      <alignment horizontal="center" vertical="center"/>
    </xf>
    <xf numFmtId="0" fontId="30" fillId="26" borderId="41" xfId="0" applyFont="1" applyFill="1" applyBorder="1" applyAlignment="1">
      <alignment horizontal="center" vertical="center"/>
    </xf>
    <xf numFmtId="0" fontId="27" fillId="25" borderId="50" xfId="0" applyFont="1" applyFill="1" applyBorder="1" applyAlignment="1">
      <alignment horizontal="center" vertical="center"/>
    </xf>
    <xf numFmtId="0" fontId="27" fillId="25" borderId="41" xfId="0" applyFont="1" applyFill="1" applyBorder="1" applyAlignment="1">
      <alignment horizontal="center" vertical="center"/>
    </xf>
    <xf numFmtId="0" fontId="30" fillId="26" borderId="51" xfId="0" applyFont="1" applyFill="1" applyBorder="1" applyAlignment="1">
      <alignment horizontal="center" vertical="center"/>
    </xf>
    <xf numFmtId="0" fontId="30" fillId="26" borderId="28" xfId="0" applyFont="1" applyFill="1" applyBorder="1" applyAlignment="1">
      <alignment horizontal="center" vertical="center"/>
    </xf>
    <xf numFmtId="0" fontId="30" fillId="26" borderId="52" xfId="0" applyFont="1" applyFill="1" applyBorder="1" applyAlignment="1">
      <alignment horizontal="center" vertical="center"/>
    </xf>
    <xf numFmtId="4" fontId="0" fillId="28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4" fontId="0" fillId="28" borderId="10" xfId="0" applyNumberFormat="1" applyFont="1" applyFill="1" applyBorder="1" applyAlignment="1">
      <alignment horizontal="center" vertical="top" wrapText="1"/>
    </xf>
    <xf numFmtId="0" fontId="0" fillId="28" borderId="10" xfId="0" applyFont="1" applyFill="1" applyBorder="1" applyAlignment="1">
      <alignment horizontal="center" vertical="center"/>
    </xf>
    <xf numFmtId="4" fontId="0" fillId="28" borderId="10" xfId="0" applyNumberFormat="1" applyFont="1" applyFill="1" applyBorder="1" applyAlignment="1">
      <alignment horizontal="center" vertical="center"/>
    </xf>
    <xf numFmtId="4" fontId="0" fillId="28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2" fontId="0" fillId="28" borderId="10" xfId="0" applyNumberFormat="1" applyFont="1" applyFill="1" applyBorder="1" applyAlignment="1">
      <alignment horizontal="center" vertical="center"/>
    </xf>
    <xf numFmtId="0" fontId="0" fillId="28" borderId="10" xfId="0" applyFont="1" applyFill="1" applyBorder="1" applyAlignment="1">
      <alignment horizontal="center" vertical="center"/>
    </xf>
    <xf numFmtId="0" fontId="0" fillId="28" borderId="10" xfId="0" applyFont="1" applyFill="1" applyBorder="1" applyAlignment="1">
      <alignment horizontal="center" vertical="center" wrapText="1"/>
    </xf>
    <xf numFmtId="2" fontId="0" fillId="28" borderId="10" xfId="0" applyNumberFormat="1" applyFont="1" applyFill="1" applyBorder="1" applyAlignment="1">
      <alignment horizontal="center" vertical="center"/>
    </xf>
    <xf numFmtId="0" fontId="0" fillId="28" borderId="10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n_definito" xfId="49"/>
    <cellStyle name="Normale_bazzano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B34"/>
  <sheetViews>
    <sheetView workbookViewId="0" topLeftCell="A7">
      <selection activeCell="B25" sqref="B25"/>
    </sheetView>
  </sheetViews>
  <sheetFormatPr defaultColWidth="9.140625" defaultRowHeight="12.75"/>
  <cols>
    <col min="1" max="1" width="5.7109375" style="20" customWidth="1"/>
    <col min="2" max="2" width="90.421875" style="20" customWidth="1"/>
    <col min="3" max="16384" width="9.140625" style="20" customWidth="1"/>
  </cols>
  <sheetData>
    <row r="1" ht="30" customHeight="1">
      <c r="B1" s="565" t="s">
        <v>97</v>
      </c>
    </row>
    <row r="2" spans="1:2" ht="15" customHeight="1">
      <c r="A2" s="566">
        <v>1</v>
      </c>
      <c r="B2" s="46" t="s">
        <v>388</v>
      </c>
    </row>
    <row r="3" spans="1:2" ht="15" customHeight="1">
      <c r="A3" s="566">
        <v>2</v>
      </c>
      <c r="B3" s="46" t="s">
        <v>87</v>
      </c>
    </row>
    <row r="4" spans="1:2" ht="15" customHeight="1">
      <c r="A4" s="566">
        <v>3</v>
      </c>
      <c r="B4" s="46" t="s">
        <v>88</v>
      </c>
    </row>
    <row r="5" spans="1:2" ht="15" customHeight="1">
      <c r="A5" s="566">
        <v>4</v>
      </c>
      <c r="B5" s="46" t="s">
        <v>90</v>
      </c>
    </row>
    <row r="6" spans="1:2" ht="15" customHeight="1">
      <c r="A6" s="566">
        <v>5</v>
      </c>
      <c r="B6" s="46" t="s">
        <v>393</v>
      </c>
    </row>
    <row r="7" spans="1:2" ht="15" customHeight="1">
      <c r="A7" s="566">
        <v>6</v>
      </c>
      <c r="B7" s="46" t="s">
        <v>10</v>
      </c>
    </row>
    <row r="8" spans="1:2" ht="15" customHeight="1">
      <c r="A8" s="566">
        <v>7</v>
      </c>
      <c r="B8" s="46" t="s">
        <v>429</v>
      </c>
    </row>
    <row r="9" spans="1:2" ht="15" customHeight="1">
      <c r="A9" s="566">
        <v>8</v>
      </c>
      <c r="B9" s="46" t="s">
        <v>428</v>
      </c>
    </row>
    <row r="10" spans="1:2" ht="15" customHeight="1">
      <c r="A10" s="566">
        <v>9</v>
      </c>
      <c r="B10" s="46" t="s">
        <v>12</v>
      </c>
    </row>
    <row r="11" spans="1:2" ht="15" customHeight="1">
      <c r="A11" s="566">
        <v>10</v>
      </c>
      <c r="B11" s="46" t="s">
        <v>11</v>
      </c>
    </row>
    <row r="12" spans="1:2" ht="15" customHeight="1">
      <c r="A12" s="566">
        <v>11</v>
      </c>
      <c r="B12" s="46" t="s">
        <v>430</v>
      </c>
    </row>
    <row r="13" spans="1:2" ht="15" customHeight="1">
      <c r="A13" s="566">
        <v>12</v>
      </c>
      <c r="B13" s="46" t="s">
        <v>99</v>
      </c>
    </row>
    <row r="14" spans="1:2" ht="15" customHeight="1">
      <c r="A14" s="566">
        <v>13</v>
      </c>
      <c r="B14" s="46" t="s">
        <v>229</v>
      </c>
    </row>
    <row r="15" spans="1:2" ht="15" customHeight="1">
      <c r="A15" s="566">
        <v>14</v>
      </c>
      <c r="B15" s="46" t="s">
        <v>446</v>
      </c>
    </row>
    <row r="16" spans="1:2" ht="15" customHeight="1">
      <c r="A16" s="566">
        <v>15</v>
      </c>
      <c r="B16" s="46" t="s">
        <v>407</v>
      </c>
    </row>
    <row r="17" spans="1:2" ht="15" customHeight="1">
      <c r="A17" s="566">
        <v>16</v>
      </c>
      <c r="B17" s="46" t="s">
        <v>230</v>
      </c>
    </row>
    <row r="18" spans="1:2" ht="15" customHeight="1">
      <c r="A18" s="566">
        <v>17</v>
      </c>
      <c r="B18" s="46" t="s">
        <v>389</v>
      </c>
    </row>
    <row r="19" spans="1:2" ht="15" customHeight="1">
      <c r="A19" s="566">
        <v>18</v>
      </c>
      <c r="B19" s="46" t="s">
        <v>390</v>
      </c>
    </row>
    <row r="20" spans="1:2" ht="15" customHeight="1">
      <c r="A20" s="566">
        <v>19</v>
      </c>
      <c r="B20" s="46" t="s">
        <v>462</v>
      </c>
    </row>
    <row r="21" spans="1:2" ht="15" customHeight="1">
      <c r="A21" s="566">
        <v>20</v>
      </c>
      <c r="B21" s="46" t="s">
        <v>91</v>
      </c>
    </row>
    <row r="22" spans="1:2" ht="15" customHeight="1">
      <c r="A22" s="566">
        <v>21</v>
      </c>
      <c r="B22" s="46" t="s">
        <v>78</v>
      </c>
    </row>
    <row r="23" spans="1:2" ht="15" customHeight="1">
      <c r="A23" s="566">
        <v>22</v>
      </c>
      <c r="B23" s="46" t="s">
        <v>391</v>
      </c>
    </row>
    <row r="24" spans="1:2" ht="15" customHeight="1">
      <c r="A24" s="566">
        <v>23</v>
      </c>
      <c r="B24" s="46" t="s">
        <v>92</v>
      </c>
    </row>
    <row r="25" spans="1:2" ht="15" customHeight="1">
      <c r="A25" s="566">
        <v>24</v>
      </c>
      <c r="B25" s="46" t="s">
        <v>277</v>
      </c>
    </row>
    <row r="26" spans="1:2" ht="15" customHeight="1">
      <c r="A26" s="566">
        <v>25</v>
      </c>
      <c r="B26" s="46" t="s">
        <v>100</v>
      </c>
    </row>
    <row r="27" spans="1:2" ht="15" customHeight="1">
      <c r="A27" s="566">
        <v>26</v>
      </c>
      <c r="B27" s="46" t="s">
        <v>101</v>
      </c>
    </row>
    <row r="28" spans="1:2" ht="15" customHeight="1">
      <c r="A28" s="566">
        <v>27</v>
      </c>
      <c r="B28" s="46" t="s">
        <v>103</v>
      </c>
    </row>
    <row r="29" spans="1:2" ht="15" customHeight="1">
      <c r="A29" s="566">
        <v>28</v>
      </c>
      <c r="B29" s="46" t="s">
        <v>408</v>
      </c>
    </row>
    <row r="30" spans="1:2" ht="15" customHeight="1">
      <c r="A30" s="566">
        <v>29</v>
      </c>
      <c r="B30" s="46" t="s">
        <v>102</v>
      </c>
    </row>
    <row r="31" spans="1:2" ht="15" customHeight="1">
      <c r="A31" s="566">
        <v>30</v>
      </c>
      <c r="B31" s="46" t="s">
        <v>232</v>
      </c>
    </row>
    <row r="32" spans="1:2" ht="15" customHeight="1">
      <c r="A32" s="566">
        <v>31</v>
      </c>
      <c r="B32" s="46" t="s">
        <v>89</v>
      </c>
    </row>
    <row r="33" spans="1:2" ht="15" customHeight="1">
      <c r="A33" s="566">
        <v>32</v>
      </c>
      <c r="B33" s="46" t="s">
        <v>386</v>
      </c>
    </row>
    <row r="34" spans="1:2" ht="15" customHeight="1">
      <c r="A34" s="566">
        <v>33</v>
      </c>
      <c r="B34" s="46" t="s">
        <v>93</v>
      </c>
    </row>
    <row r="35" ht="15" customHeight="1"/>
  </sheetData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N60"/>
  <sheetViews>
    <sheetView workbookViewId="0" topLeftCell="A37">
      <selection activeCell="M60" sqref="M60"/>
    </sheetView>
  </sheetViews>
  <sheetFormatPr defaultColWidth="9.140625" defaultRowHeight="12.75"/>
  <cols>
    <col min="1" max="3" width="20.7109375" style="24" customWidth="1"/>
    <col min="4" max="4" width="7.57421875" style="24" customWidth="1"/>
    <col min="5" max="6" width="5.7109375" style="24" customWidth="1"/>
    <col min="7" max="8" width="9.7109375" style="24" customWidth="1"/>
    <col min="9" max="10" width="13.7109375" style="24" customWidth="1"/>
    <col min="11" max="11" width="10.140625" style="24" customWidth="1"/>
    <col min="12" max="13" width="20.7109375" style="24" customWidth="1"/>
    <col min="14" max="14" width="11.57421875" style="54" customWidth="1"/>
    <col min="15" max="15" width="19.140625" style="54" customWidth="1"/>
    <col min="16" max="16384" width="11.57421875" style="54" customWidth="1"/>
  </cols>
  <sheetData>
    <row r="1" spans="1:13" s="48" customFormat="1" ht="30" customHeight="1">
      <c r="A1" s="1007" t="s">
        <v>401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458">
        <v>40071153</v>
      </c>
    </row>
    <row r="2" spans="1:13" s="49" customFormat="1" ht="29.25" customHeight="1">
      <c r="A2" s="1044" t="s">
        <v>392</v>
      </c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9"/>
    </row>
    <row r="3" spans="1:13" s="51" customFormat="1" ht="15" customHeight="1">
      <c r="A3" s="1027" t="s">
        <v>66</v>
      </c>
      <c r="B3" s="1027"/>
      <c r="C3" s="19"/>
      <c r="D3" s="19"/>
      <c r="E3" s="19"/>
      <c r="F3" s="19"/>
      <c r="G3" s="19"/>
      <c r="H3" s="19"/>
      <c r="I3" s="19"/>
      <c r="J3" s="19"/>
      <c r="K3" s="19"/>
      <c r="L3" s="31"/>
      <c r="M3" s="31"/>
    </row>
    <row r="4" spans="1:13" s="50" customFormat="1" ht="48" customHeight="1">
      <c r="A4" s="39" t="s">
        <v>332</v>
      </c>
      <c r="B4" s="39" t="s">
        <v>333</v>
      </c>
      <c r="C4" s="115" t="s">
        <v>213</v>
      </c>
      <c r="D4" s="115" t="s">
        <v>36</v>
      </c>
      <c r="E4" s="115" t="s">
        <v>73</v>
      </c>
      <c r="F4" s="115" t="s">
        <v>74</v>
      </c>
      <c r="G4" s="115" t="s">
        <v>37</v>
      </c>
      <c r="H4" s="115" t="s">
        <v>38</v>
      </c>
      <c r="I4" s="115" t="s">
        <v>15</v>
      </c>
      <c r="J4" s="115" t="s">
        <v>214</v>
      </c>
      <c r="K4" s="115" t="s">
        <v>39</v>
      </c>
      <c r="L4" s="39" t="s">
        <v>55</v>
      </c>
      <c r="M4" s="130" t="s">
        <v>334</v>
      </c>
    </row>
    <row r="5" spans="1:13" s="63" customFormat="1" ht="15" customHeight="1">
      <c r="A5" s="789"/>
      <c r="B5" s="789"/>
      <c r="C5" s="790"/>
      <c r="D5" s="21">
        <v>1</v>
      </c>
      <c r="E5" s="429"/>
      <c r="F5" s="429">
        <v>1</v>
      </c>
      <c r="G5" s="429">
        <v>1</v>
      </c>
      <c r="H5" s="429"/>
      <c r="I5" s="409" t="s">
        <v>212</v>
      </c>
      <c r="J5" s="409" t="s">
        <v>212</v>
      </c>
      <c r="K5" s="429">
        <v>2012</v>
      </c>
      <c r="L5" s="790"/>
      <c r="M5" s="143">
        <v>2476</v>
      </c>
    </row>
    <row r="6" spans="1:13" s="63" customFormat="1" ht="15" customHeight="1">
      <c r="A6" s="791"/>
      <c r="B6" s="791"/>
      <c r="C6" s="792"/>
      <c r="D6" s="21">
        <v>1</v>
      </c>
      <c r="E6" s="21">
        <v>1</v>
      </c>
      <c r="F6" s="21"/>
      <c r="G6" s="21"/>
      <c r="H6" s="21">
        <v>1</v>
      </c>
      <c r="I6" s="409" t="s">
        <v>212</v>
      </c>
      <c r="J6" s="409" t="s">
        <v>326</v>
      </c>
      <c r="K6" s="21">
        <v>2008</v>
      </c>
      <c r="L6" s="790"/>
      <c r="M6" s="143">
        <v>3520</v>
      </c>
    </row>
    <row r="7" spans="1:13" s="63" customFormat="1" ht="15" customHeight="1">
      <c r="A7" s="793"/>
      <c r="B7" s="793"/>
      <c r="C7" s="792"/>
      <c r="D7" s="21">
        <v>1</v>
      </c>
      <c r="E7" s="429">
        <v>1</v>
      </c>
      <c r="F7" s="429"/>
      <c r="G7" s="429">
        <v>1</v>
      </c>
      <c r="H7" s="429"/>
      <c r="I7" s="409" t="s">
        <v>212</v>
      </c>
      <c r="J7" s="409" t="s">
        <v>212</v>
      </c>
      <c r="K7" s="429">
        <v>2000</v>
      </c>
      <c r="L7" s="790"/>
      <c r="M7" s="143">
        <v>15600</v>
      </c>
    </row>
    <row r="8" spans="1:13" s="63" customFormat="1" ht="15" customHeight="1">
      <c r="A8" s="793"/>
      <c r="B8" s="793"/>
      <c r="C8" s="792"/>
      <c r="D8" s="21">
        <v>1</v>
      </c>
      <c r="E8" s="21"/>
      <c r="F8" s="21">
        <v>1</v>
      </c>
      <c r="G8" s="21">
        <v>1</v>
      </c>
      <c r="H8" s="21"/>
      <c r="I8" s="409" t="s">
        <v>212</v>
      </c>
      <c r="J8" s="409" t="s">
        <v>212</v>
      </c>
      <c r="K8" s="21">
        <v>1995</v>
      </c>
      <c r="L8" s="790"/>
      <c r="M8" s="143">
        <v>1300</v>
      </c>
    </row>
    <row r="9" spans="1:13" s="63" customFormat="1" ht="15" customHeight="1">
      <c r="A9" s="791"/>
      <c r="B9" s="791"/>
      <c r="C9" s="792"/>
      <c r="D9" s="21">
        <v>1</v>
      </c>
      <c r="E9" s="21">
        <v>1</v>
      </c>
      <c r="F9" s="21"/>
      <c r="G9" s="21">
        <v>1</v>
      </c>
      <c r="H9" s="21"/>
      <c r="I9" s="409" t="s">
        <v>212</v>
      </c>
      <c r="J9" s="409" t="s">
        <v>212</v>
      </c>
      <c r="K9" s="21">
        <v>2006</v>
      </c>
      <c r="L9" s="790"/>
      <c r="M9" s="143">
        <v>688</v>
      </c>
    </row>
    <row r="10" spans="1:13" s="161" customFormat="1" ht="15" customHeight="1">
      <c r="A10" s="1036" t="s">
        <v>75</v>
      </c>
      <c r="B10" s="1036"/>
      <c r="C10" s="120"/>
      <c r="D10" s="120">
        <f>SUM(D5:D9)</f>
        <v>5</v>
      </c>
      <c r="E10" s="120">
        <f>SUM(E5:E9)</f>
        <v>3</v>
      </c>
      <c r="F10" s="120">
        <f>SUM(F5:F9)</f>
        <v>2</v>
      </c>
      <c r="G10" s="120">
        <f>SUM(G5:G9)</f>
        <v>4</v>
      </c>
      <c r="H10" s="120">
        <f>SUM(H5:H9)</f>
        <v>1</v>
      </c>
      <c r="I10" s="120"/>
      <c r="J10" s="120"/>
      <c r="K10" s="109"/>
      <c r="L10" s="148"/>
      <c r="M10" s="149">
        <f>SUM(M5:M9)</f>
        <v>23584</v>
      </c>
    </row>
    <row r="11" spans="1:13" s="51" customFormat="1" ht="15" customHeight="1">
      <c r="A11" s="1047" t="s">
        <v>64</v>
      </c>
      <c r="B11" s="1047"/>
      <c r="C11" s="19"/>
      <c r="D11" s="19"/>
      <c r="E11" s="19"/>
      <c r="F11" s="19"/>
      <c r="G11" s="19"/>
      <c r="H11" s="19"/>
      <c r="I11" s="19"/>
      <c r="J11" s="19"/>
      <c r="K11" s="19"/>
      <c r="L11" s="29"/>
      <c r="M11" s="160"/>
    </row>
    <row r="12" spans="1:13" s="50" customFormat="1" ht="48" customHeight="1">
      <c r="A12" s="39" t="s">
        <v>332</v>
      </c>
      <c r="B12" s="39" t="s">
        <v>333</v>
      </c>
      <c r="C12" s="115" t="s">
        <v>213</v>
      </c>
      <c r="D12" s="115" t="s">
        <v>36</v>
      </c>
      <c r="E12" s="115" t="s">
        <v>73</v>
      </c>
      <c r="F12" s="115" t="s">
        <v>74</v>
      </c>
      <c r="G12" s="115" t="s">
        <v>37</v>
      </c>
      <c r="H12" s="115" t="s">
        <v>38</v>
      </c>
      <c r="I12" s="115" t="s">
        <v>15</v>
      </c>
      <c r="J12" s="115" t="s">
        <v>214</v>
      </c>
      <c r="K12" s="115" t="s">
        <v>39</v>
      </c>
      <c r="L12" s="39" t="s">
        <v>55</v>
      </c>
      <c r="M12" s="130" t="s">
        <v>334</v>
      </c>
    </row>
    <row r="13" spans="1:13" s="80" customFormat="1" ht="15" customHeight="1">
      <c r="A13" s="793"/>
      <c r="B13" s="793"/>
      <c r="C13" s="793"/>
      <c r="D13" s="22">
        <v>1</v>
      </c>
      <c r="E13" s="22"/>
      <c r="F13" s="22">
        <v>1</v>
      </c>
      <c r="G13" s="21">
        <v>1</v>
      </c>
      <c r="H13" s="22"/>
      <c r="I13" s="22"/>
      <c r="J13" s="22" t="s">
        <v>212</v>
      </c>
      <c r="K13" s="22">
        <v>2000</v>
      </c>
      <c r="L13" s="790"/>
      <c r="M13" s="145">
        <v>1455</v>
      </c>
    </row>
    <row r="14" spans="1:13" s="80" customFormat="1" ht="15" customHeight="1">
      <c r="A14" s="793"/>
      <c r="B14" s="793"/>
      <c r="C14" s="793"/>
      <c r="D14" s="22">
        <v>1</v>
      </c>
      <c r="E14" s="22"/>
      <c r="F14" s="22">
        <v>1</v>
      </c>
      <c r="G14" s="21">
        <v>1</v>
      </c>
      <c r="H14" s="22"/>
      <c r="I14" s="22" t="s">
        <v>212</v>
      </c>
      <c r="J14" s="22" t="s">
        <v>212</v>
      </c>
      <c r="K14" s="22">
        <v>1996</v>
      </c>
      <c r="L14" s="790"/>
      <c r="M14" s="145">
        <v>2250</v>
      </c>
    </row>
    <row r="15" spans="1:13" s="80" customFormat="1" ht="15" customHeight="1">
      <c r="A15" s="793"/>
      <c r="B15" s="793"/>
      <c r="C15" s="793"/>
      <c r="D15" s="22">
        <v>1</v>
      </c>
      <c r="E15" s="22"/>
      <c r="F15" s="22">
        <v>1</v>
      </c>
      <c r="G15" s="22"/>
      <c r="H15" s="21">
        <v>1</v>
      </c>
      <c r="I15" s="22" t="s">
        <v>212</v>
      </c>
      <c r="J15" s="22" t="s">
        <v>16</v>
      </c>
      <c r="K15" s="22">
        <v>2002</v>
      </c>
      <c r="L15" s="790"/>
      <c r="M15" s="145">
        <v>8212.8</v>
      </c>
    </row>
    <row r="16" spans="1:13" s="80" customFormat="1" ht="15" customHeight="1">
      <c r="A16" s="793"/>
      <c r="B16" s="793"/>
      <c r="C16" s="793"/>
      <c r="D16" s="22">
        <v>1</v>
      </c>
      <c r="E16" s="22">
        <v>1</v>
      </c>
      <c r="F16" s="22"/>
      <c r="G16" s="21">
        <v>1</v>
      </c>
      <c r="H16" s="22"/>
      <c r="I16" s="22" t="s">
        <v>212</v>
      </c>
      <c r="J16" s="22" t="s">
        <v>212</v>
      </c>
      <c r="K16" s="22">
        <v>2009</v>
      </c>
      <c r="L16" s="790"/>
      <c r="M16" s="145">
        <v>430</v>
      </c>
    </row>
    <row r="17" spans="1:13" s="80" customFormat="1" ht="15" customHeight="1">
      <c r="A17" s="793"/>
      <c r="B17" s="793"/>
      <c r="C17" s="793"/>
      <c r="D17" s="22">
        <v>1</v>
      </c>
      <c r="E17" s="22">
        <v>1</v>
      </c>
      <c r="F17" s="290"/>
      <c r="G17" s="290"/>
      <c r="H17" s="22">
        <v>1</v>
      </c>
      <c r="I17" s="22" t="s">
        <v>212</v>
      </c>
      <c r="J17" s="22" t="s">
        <v>17</v>
      </c>
      <c r="K17" s="22">
        <v>2003</v>
      </c>
      <c r="L17" s="790"/>
      <c r="M17" s="145">
        <v>6192</v>
      </c>
    </row>
    <row r="18" spans="1:13" s="80" customFormat="1" ht="15" customHeight="1">
      <c r="A18" s="793"/>
      <c r="B18" s="793"/>
      <c r="C18" s="793"/>
      <c r="D18" s="22">
        <v>1</v>
      </c>
      <c r="E18" s="22"/>
      <c r="F18" s="22">
        <v>1</v>
      </c>
      <c r="G18" s="22">
        <v>1</v>
      </c>
      <c r="H18" s="22"/>
      <c r="I18" s="22" t="s">
        <v>212</v>
      </c>
      <c r="J18" s="15" t="s">
        <v>212</v>
      </c>
      <c r="K18" s="22">
        <v>1996</v>
      </c>
      <c r="L18" s="790"/>
      <c r="M18" s="145">
        <v>1032</v>
      </c>
    </row>
    <row r="19" spans="1:13" s="80" customFormat="1" ht="15" customHeight="1">
      <c r="A19" s="793"/>
      <c r="B19" s="793"/>
      <c r="C19" s="793"/>
      <c r="D19" s="22">
        <v>1</v>
      </c>
      <c r="E19" s="22"/>
      <c r="F19" s="22">
        <v>1</v>
      </c>
      <c r="G19" s="22"/>
      <c r="H19" s="22">
        <v>1</v>
      </c>
      <c r="I19" s="22" t="s">
        <v>18</v>
      </c>
      <c r="J19" s="22" t="s">
        <v>18</v>
      </c>
      <c r="K19" s="22">
        <v>1997</v>
      </c>
      <c r="L19" s="790"/>
      <c r="M19" s="145">
        <v>2064</v>
      </c>
    </row>
    <row r="20" spans="1:13" s="80" customFormat="1" ht="15" customHeight="1">
      <c r="A20" s="793"/>
      <c r="B20" s="793"/>
      <c r="C20" s="793"/>
      <c r="D20" s="22">
        <v>1</v>
      </c>
      <c r="E20" s="22"/>
      <c r="F20" s="22">
        <v>1</v>
      </c>
      <c r="G20" s="22">
        <v>1</v>
      </c>
      <c r="H20" s="22"/>
      <c r="I20" s="22" t="s">
        <v>212</v>
      </c>
      <c r="J20" s="15" t="s">
        <v>212</v>
      </c>
      <c r="K20" s="22">
        <v>1999</v>
      </c>
      <c r="L20" s="790"/>
      <c r="M20" s="145">
        <v>8592</v>
      </c>
    </row>
    <row r="21" spans="1:13" s="80" customFormat="1" ht="15" customHeight="1">
      <c r="A21" s="793"/>
      <c r="B21" s="793"/>
      <c r="C21" s="793"/>
      <c r="D21" s="22">
        <v>1</v>
      </c>
      <c r="E21" s="22">
        <v>1</v>
      </c>
      <c r="F21" s="22"/>
      <c r="G21" s="22">
        <v>1</v>
      </c>
      <c r="H21" s="22"/>
      <c r="I21" s="22" t="s">
        <v>212</v>
      </c>
      <c r="J21" s="15" t="s">
        <v>212</v>
      </c>
      <c r="K21" s="22">
        <v>2007</v>
      </c>
      <c r="L21" s="1045"/>
      <c r="M21" s="1046">
        <v>8372.59</v>
      </c>
    </row>
    <row r="22" spans="1:13" s="80" customFormat="1" ht="15" customHeight="1">
      <c r="A22" s="793"/>
      <c r="B22" s="793"/>
      <c r="C22" s="793"/>
      <c r="D22" s="22">
        <v>1</v>
      </c>
      <c r="E22" s="22"/>
      <c r="F22" s="22">
        <v>1</v>
      </c>
      <c r="G22" s="22">
        <v>1</v>
      </c>
      <c r="H22" s="22"/>
      <c r="I22" s="22" t="s">
        <v>212</v>
      </c>
      <c r="J22" s="22" t="s">
        <v>212</v>
      </c>
      <c r="K22" s="22">
        <v>2005</v>
      </c>
      <c r="L22" s="1045"/>
      <c r="M22" s="1046"/>
    </row>
    <row r="23" spans="1:13" s="80" customFormat="1" ht="15" customHeight="1">
      <c r="A23" s="793"/>
      <c r="B23" s="793"/>
      <c r="C23" s="793"/>
      <c r="D23" s="22">
        <v>1</v>
      </c>
      <c r="E23" s="22"/>
      <c r="F23" s="22">
        <v>1</v>
      </c>
      <c r="G23" s="22">
        <v>1</v>
      </c>
      <c r="H23" s="22"/>
      <c r="I23" s="15" t="s">
        <v>212</v>
      </c>
      <c r="J23" s="15" t="s">
        <v>212</v>
      </c>
      <c r="K23" s="22">
        <v>1998</v>
      </c>
      <c r="L23" s="790"/>
      <c r="M23" s="145">
        <v>8592</v>
      </c>
    </row>
    <row r="24" spans="1:13" s="161" customFormat="1" ht="15" customHeight="1">
      <c r="A24" s="1036" t="s">
        <v>8</v>
      </c>
      <c r="B24" s="1036"/>
      <c r="C24" s="120"/>
      <c r="D24" s="120">
        <f>SUM(D13:D23)</f>
        <v>11</v>
      </c>
      <c r="E24" s="120">
        <f>SUM(E14:E23)</f>
        <v>3</v>
      </c>
      <c r="F24" s="120">
        <f>SUM(F13:F23)</f>
        <v>8</v>
      </c>
      <c r="G24" s="120">
        <f>SUM(G13:G23)</f>
        <v>8</v>
      </c>
      <c r="H24" s="120">
        <f>SUM(H13:H23)</f>
        <v>3</v>
      </c>
      <c r="I24" s="120"/>
      <c r="J24" s="120"/>
      <c r="K24" s="120"/>
      <c r="L24" s="148"/>
      <c r="M24" s="149">
        <f>SUM(M13:M23)</f>
        <v>47192.39</v>
      </c>
    </row>
    <row r="25" spans="1:13" s="161" customFormat="1" ht="15" customHeight="1">
      <c r="A25" s="1047" t="s">
        <v>67</v>
      </c>
      <c r="B25" s="1047"/>
      <c r="C25" s="19"/>
      <c r="D25" s="19"/>
      <c r="E25" s="19"/>
      <c r="F25" s="19"/>
      <c r="G25" s="19"/>
      <c r="H25" s="19"/>
      <c r="I25" s="19"/>
      <c r="J25" s="19"/>
      <c r="K25" s="19"/>
      <c r="L25" s="29"/>
      <c r="M25" s="160"/>
    </row>
    <row r="26" spans="1:13" s="161" customFormat="1" ht="48" customHeight="1">
      <c r="A26" s="39" t="s">
        <v>332</v>
      </c>
      <c r="B26" s="39" t="s">
        <v>333</v>
      </c>
      <c r="C26" s="115" t="s">
        <v>213</v>
      </c>
      <c r="D26" s="115" t="s">
        <v>36</v>
      </c>
      <c r="E26" s="115" t="s">
        <v>73</v>
      </c>
      <c r="F26" s="115" t="s">
        <v>74</v>
      </c>
      <c r="G26" s="115" t="s">
        <v>37</v>
      </c>
      <c r="H26" s="115" t="s">
        <v>38</v>
      </c>
      <c r="I26" s="115" t="s">
        <v>15</v>
      </c>
      <c r="J26" s="115" t="s">
        <v>214</v>
      </c>
      <c r="K26" s="115" t="s">
        <v>39</v>
      </c>
      <c r="L26" s="39" t="s">
        <v>55</v>
      </c>
      <c r="M26" s="130" t="s">
        <v>334</v>
      </c>
    </row>
    <row r="27" spans="1:13" s="161" customFormat="1" ht="15" customHeight="1">
      <c r="A27" s="1036" t="s">
        <v>95</v>
      </c>
      <c r="B27" s="1036"/>
      <c r="C27" s="12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/>
      <c r="J27" s="120"/>
      <c r="K27" s="120"/>
      <c r="L27" s="148"/>
      <c r="M27" s="149">
        <v>0</v>
      </c>
    </row>
    <row r="28" spans="1:13" s="51" customFormat="1" ht="15" customHeight="1">
      <c r="A28" s="1047" t="s">
        <v>68</v>
      </c>
      <c r="B28" s="1047"/>
      <c r="C28" s="19"/>
      <c r="D28" s="19"/>
      <c r="E28" s="19"/>
      <c r="F28" s="19"/>
      <c r="G28" s="19"/>
      <c r="H28" s="19"/>
      <c r="I28" s="19"/>
      <c r="J28" s="19"/>
      <c r="K28" s="19"/>
      <c r="L28" s="29"/>
      <c r="M28" s="160"/>
    </row>
    <row r="29" spans="1:13" s="226" customFormat="1" ht="48" customHeight="1">
      <c r="A29" s="39" t="s">
        <v>332</v>
      </c>
      <c r="B29" s="39" t="s">
        <v>333</v>
      </c>
      <c r="C29" s="115" t="s">
        <v>213</v>
      </c>
      <c r="D29" s="115" t="s">
        <v>36</v>
      </c>
      <c r="E29" s="115" t="s">
        <v>73</v>
      </c>
      <c r="F29" s="115" t="s">
        <v>74</v>
      </c>
      <c r="G29" s="115" t="s">
        <v>37</v>
      </c>
      <c r="H29" s="115" t="s">
        <v>38</v>
      </c>
      <c r="I29" s="115" t="s">
        <v>15</v>
      </c>
      <c r="J29" s="115" t="s">
        <v>214</v>
      </c>
      <c r="K29" s="115" t="s">
        <v>39</v>
      </c>
      <c r="L29" s="39" t="s">
        <v>55</v>
      </c>
      <c r="M29" s="130" t="s">
        <v>334</v>
      </c>
    </row>
    <row r="30" spans="1:13" s="63" customFormat="1" ht="15" customHeight="1">
      <c r="A30" s="793"/>
      <c r="B30" s="793"/>
      <c r="C30" s="793"/>
      <c r="D30" s="485">
        <v>1</v>
      </c>
      <c r="E30" s="485">
        <v>1</v>
      </c>
      <c r="F30" s="485"/>
      <c r="G30" s="485">
        <v>1</v>
      </c>
      <c r="H30" s="485"/>
      <c r="I30" s="409" t="s">
        <v>212</v>
      </c>
      <c r="J30" s="418" t="s">
        <v>212</v>
      </c>
      <c r="K30" s="409">
        <v>2005</v>
      </c>
      <c r="L30" s="793"/>
      <c r="M30" s="143">
        <v>1500</v>
      </c>
    </row>
    <row r="31" spans="1:13" s="161" customFormat="1" ht="15" customHeight="1">
      <c r="A31" s="1036" t="s">
        <v>478</v>
      </c>
      <c r="B31" s="1036"/>
      <c r="C31" s="120"/>
      <c r="D31" s="120">
        <f>SUM(D30)</f>
        <v>1</v>
      </c>
      <c r="E31" s="120">
        <f>SUM(E30)</f>
        <v>1</v>
      </c>
      <c r="F31" s="120"/>
      <c r="G31" s="120">
        <f>SUM(G30)</f>
        <v>1</v>
      </c>
      <c r="H31" s="120"/>
      <c r="I31" s="120"/>
      <c r="J31" s="120"/>
      <c r="K31" s="120"/>
      <c r="L31" s="148"/>
      <c r="M31" s="149">
        <f>SUM(M30)</f>
        <v>1500</v>
      </c>
    </row>
    <row r="32" spans="1:13" s="161" customFormat="1" ht="15" customHeight="1">
      <c r="A32" s="1047" t="s">
        <v>65</v>
      </c>
      <c r="B32" s="1047"/>
      <c r="C32" s="19"/>
      <c r="D32" s="19"/>
      <c r="E32" s="19"/>
      <c r="F32" s="19"/>
      <c r="G32" s="19"/>
      <c r="H32" s="19"/>
      <c r="I32" s="19"/>
      <c r="J32" s="19"/>
      <c r="K32" s="19"/>
      <c r="L32" s="29"/>
      <c r="M32" s="160"/>
    </row>
    <row r="33" spans="1:13" s="161" customFormat="1" ht="48" customHeight="1">
      <c r="A33" s="39" t="s">
        <v>332</v>
      </c>
      <c r="B33" s="39" t="s">
        <v>333</v>
      </c>
      <c r="C33" s="115" t="s">
        <v>213</v>
      </c>
      <c r="D33" s="115" t="s">
        <v>36</v>
      </c>
      <c r="E33" s="115" t="s">
        <v>73</v>
      </c>
      <c r="F33" s="115" t="s">
        <v>74</v>
      </c>
      <c r="G33" s="115" t="s">
        <v>37</v>
      </c>
      <c r="H33" s="115" t="s">
        <v>38</v>
      </c>
      <c r="I33" s="115" t="s">
        <v>15</v>
      </c>
      <c r="J33" s="115" t="s">
        <v>214</v>
      </c>
      <c r="K33" s="115" t="s">
        <v>39</v>
      </c>
      <c r="L33" s="39" t="s">
        <v>55</v>
      </c>
      <c r="M33" s="130" t="s">
        <v>334</v>
      </c>
    </row>
    <row r="34" spans="1:13" s="161" customFormat="1" ht="15" customHeight="1">
      <c r="A34" s="1036" t="s">
        <v>340</v>
      </c>
      <c r="B34" s="1036"/>
      <c r="C34" s="12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/>
      <c r="J34" s="120"/>
      <c r="K34" s="120"/>
      <c r="L34" s="148"/>
      <c r="M34" s="149">
        <v>0</v>
      </c>
    </row>
    <row r="35" spans="1:13" s="51" customFormat="1" ht="15" customHeight="1">
      <c r="A35" s="1047" t="s">
        <v>69</v>
      </c>
      <c r="B35" s="1047"/>
      <c r="C35" s="19"/>
      <c r="D35" s="19"/>
      <c r="E35" s="19"/>
      <c r="F35" s="19"/>
      <c r="G35" s="19"/>
      <c r="H35" s="19"/>
      <c r="I35" s="19"/>
      <c r="J35" s="19"/>
      <c r="K35" s="19"/>
      <c r="L35" s="29"/>
      <c r="M35" s="160"/>
    </row>
    <row r="36" spans="1:13" s="226" customFormat="1" ht="48" customHeight="1">
      <c r="A36" s="39" t="s">
        <v>332</v>
      </c>
      <c r="B36" s="39" t="s">
        <v>333</v>
      </c>
      <c r="C36" s="115" t="s">
        <v>213</v>
      </c>
      <c r="D36" s="115" t="s">
        <v>36</v>
      </c>
      <c r="E36" s="115" t="s">
        <v>73</v>
      </c>
      <c r="F36" s="115" t="s">
        <v>74</v>
      </c>
      <c r="G36" s="115" t="s">
        <v>37</v>
      </c>
      <c r="H36" s="115" t="s">
        <v>38</v>
      </c>
      <c r="I36" s="115" t="s">
        <v>15</v>
      </c>
      <c r="J36" s="115" t="s">
        <v>214</v>
      </c>
      <c r="K36" s="115" t="s">
        <v>39</v>
      </c>
      <c r="L36" s="39" t="s">
        <v>55</v>
      </c>
      <c r="M36" s="130" t="s">
        <v>334</v>
      </c>
    </row>
    <row r="37" spans="1:13" s="80" customFormat="1" ht="15" customHeight="1">
      <c r="A37" s="793"/>
      <c r="B37" s="793"/>
      <c r="C37" s="440"/>
      <c r="D37" s="22">
        <v>1</v>
      </c>
      <c r="E37" s="22"/>
      <c r="F37" s="22">
        <v>1</v>
      </c>
      <c r="G37" s="22">
        <v>1</v>
      </c>
      <c r="H37" s="22"/>
      <c r="I37" s="409" t="s">
        <v>212</v>
      </c>
      <c r="J37" s="409" t="s">
        <v>423</v>
      </c>
      <c r="K37" s="22">
        <v>1995</v>
      </c>
      <c r="L37" s="793"/>
      <c r="M37" s="145">
        <v>12000</v>
      </c>
    </row>
    <row r="38" spans="1:13" s="80" customFormat="1" ht="15" customHeight="1">
      <c r="A38" s="793"/>
      <c r="B38" s="793"/>
      <c r="C38" s="222"/>
      <c r="D38" s="22">
        <v>1</v>
      </c>
      <c r="E38" s="22">
        <v>1</v>
      </c>
      <c r="F38" s="22"/>
      <c r="G38" s="22"/>
      <c r="H38" s="22">
        <v>1</v>
      </c>
      <c r="I38" s="409" t="s">
        <v>212</v>
      </c>
      <c r="J38" s="22" t="s">
        <v>326</v>
      </c>
      <c r="K38" s="22">
        <v>2000</v>
      </c>
      <c r="L38" s="793"/>
      <c r="M38" s="145">
        <v>5328</v>
      </c>
    </row>
    <row r="39" spans="1:13" s="161" customFormat="1" ht="15" customHeight="1">
      <c r="A39" s="1036" t="s">
        <v>13</v>
      </c>
      <c r="B39" s="1036"/>
      <c r="C39" s="108"/>
      <c r="D39" s="108">
        <v>2</v>
      </c>
      <c r="E39" s="108">
        <f>SUM(E38)</f>
        <v>1</v>
      </c>
      <c r="F39" s="108">
        <f>SUM(F37:F38)</f>
        <v>1</v>
      </c>
      <c r="G39" s="108">
        <f>SUM(G37:G38)</f>
        <v>1</v>
      </c>
      <c r="H39" s="108">
        <f>SUM(H38)</f>
        <v>1</v>
      </c>
      <c r="I39" s="108"/>
      <c r="J39" s="108"/>
      <c r="K39" s="109"/>
      <c r="L39" s="148"/>
      <c r="M39" s="149">
        <f>SUM(M37:M38)</f>
        <v>17328</v>
      </c>
    </row>
    <row r="40" spans="1:13" s="161" customFormat="1" ht="15" customHeight="1">
      <c r="A40" s="1047" t="s">
        <v>70</v>
      </c>
      <c r="B40" s="1047"/>
      <c r="C40" s="19"/>
      <c r="D40" s="19"/>
      <c r="E40" s="19"/>
      <c r="F40" s="19"/>
      <c r="G40" s="19"/>
      <c r="H40" s="19"/>
      <c r="I40" s="19"/>
      <c r="J40" s="19"/>
      <c r="K40" s="19"/>
      <c r="L40" s="29"/>
      <c r="M40" s="160"/>
    </row>
    <row r="41" spans="1:13" s="161" customFormat="1" ht="48" customHeight="1">
      <c r="A41" s="39" t="s">
        <v>332</v>
      </c>
      <c r="B41" s="39" t="s">
        <v>333</v>
      </c>
      <c r="C41" s="115" t="s">
        <v>213</v>
      </c>
      <c r="D41" s="115" t="s">
        <v>36</v>
      </c>
      <c r="E41" s="115" t="s">
        <v>73</v>
      </c>
      <c r="F41" s="115" t="s">
        <v>74</v>
      </c>
      <c r="G41" s="115" t="s">
        <v>37</v>
      </c>
      <c r="H41" s="115" t="s">
        <v>38</v>
      </c>
      <c r="I41" s="115" t="s">
        <v>15</v>
      </c>
      <c r="J41" s="115" t="s">
        <v>214</v>
      </c>
      <c r="K41" s="115" t="s">
        <v>39</v>
      </c>
      <c r="L41" s="39" t="s">
        <v>55</v>
      </c>
      <c r="M41" s="130" t="s">
        <v>334</v>
      </c>
    </row>
    <row r="42" spans="1:13" s="161" customFormat="1" ht="15" customHeight="1">
      <c r="A42" s="1036" t="s">
        <v>341</v>
      </c>
      <c r="B42" s="1036"/>
      <c r="C42" s="12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/>
      <c r="J42" s="120"/>
      <c r="K42" s="120"/>
      <c r="L42" s="148"/>
      <c r="M42" s="149">
        <v>0</v>
      </c>
    </row>
    <row r="43" spans="1:13" s="161" customFormat="1" ht="15" customHeight="1">
      <c r="A43" s="1047" t="s">
        <v>71</v>
      </c>
      <c r="B43" s="1047"/>
      <c r="C43" s="19"/>
      <c r="D43" s="19"/>
      <c r="E43" s="19"/>
      <c r="F43" s="19"/>
      <c r="G43" s="19"/>
      <c r="H43" s="19"/>
      <c r="I43" s="19"/>
      <c r="J43" s="19"/>
      <c r="K43" s="19"/>
      <c r="L43" s="29"/>
      <c r="M43" s="160"/>
    </row>
    <row r="44" spans="1:13" s="161" customFormat="1" ht="48" customHeight="1">
      <c r="A44" s="39" t="s">
        <v>332</v>
      </c>
      <c r="B44" s="39" t="s">
        <v>333</v>
      </c>
      <c r="C44" s="115" t="s">
        <v>213</v>
      </c>
      <c r="D44" s="115" t="s">
        <v>36</v>
      </c>
      <c r="E44" s="115" t="s">
        <v>73</v>
      </c>
      <c r="F44" s="115" t="s">
        <v>74</v>
      </c>
      <c r="G44" s="115" t="s">
        <v>37</v>
      </c>
      <c r="H44" s="115" t="s">
        <v>38</v>
      </c>
      <c r="I44" s="115" t="s">
        <v>15</v>
      </c>
      <c r="J44" s="115" t="s">
        <v>214</v>
      </c>
      <c r="K44" s="115" t="s">
        <v>39</v>
      </c>
      <c r="L44" s="39" t="s">
        <v>55</v>
      </c>
      <c r="M44" s="130" t="s">
        <v>334</v>
      </c>
    </row>
    <row r="45" spans="1:13" s="161" customFormat="1" ht="15" customHeight="1">
      <c r="A45" s="1036" t="s">
        <v>22</v>
      </c>
      <c r="B45" s="1036"/>
      <c r="C45" s="120"/>
      <c r="D45" s="120">
        <v>0</v>
      </c>
      <c r="E45" s="120">
        <v>0</v>
      </c>
      <c r="F45" s="120">
        <v>0</v>
      </c>
      <c r="G45" s="120">
        <v>0</v>
      </c>
      <c r="H45" s="120">
        <v>0</v>
      </c>
      <c r="I45" s="120"/>
      <c r="J45" s="120"/>
      <c r="K45" s="120"/>
      <c r="L45" s="148"/>
      <c r="M45" s="149">
        <v>0</v>
      </c>
    </row>
    <row r="46" spans="1:13" s="51" customFormat="1" ht="14.25" customHeight="1">
      <c r="A46" s="1047" t="s">
        <v>72</v>
      </c>
      <c r="B46" s="1047"/>
      <c r="C46" s="19"/>
      <c r="D46" s="19"/>
      <c r="E46" s="19"/>
      <c r="F46" s="19"/>
      <c r="G46" s="19"/>
      <c r="H46" s="19"/>
      <c r="I46" s="19"/>
      <c r="J46" s="19"/>
      <c r="K46" s="19"/>
      <c r="L46" s="29"/>
      <c r="M46" s="160"/>
    </row>
    <row r="47" spans="1:13" s="226" customFormat="1" ht="48" customHeight="1">
      <c r="A47" s="39" t="s">
        <v>332</v>
      </c>
      <c r="B47" s="39" t="s">
        <v>333</v>
      </c>
      <c r="C47" s="115" t="s">
        <v>213</v>
      </c>
      <c r="D47" s="115" t="s">
        <v>36</v>
      </c>
      <c r="E47" s="115" t="s">
        <v>73</v>
      </c>
      <c r="F47" s="115" t="s">
        <v>74</v>
      </c>
      <c r="G47" s="115" t="s">
        <v>37</v>
      </c>
      <c r="H47" s="115" t="s">
        <v>38</v>
      </c>
      <c r="I47" s="115" t="s">
        <v>15</v>
      </c>
      <c r="J47" s="115" t="s">
        <v>214</v>
      </c>
      <c r="K47" s="115" t="s">
        <v>39</v>
      </c>
      <c r="L47" s="39" t="s">
        <v>55</v>
      </c>
      <c r="M47" s="130" t="s">
        <v>334</v>
      </c>
    </row>
    <row r="48" spans="1:13" s="80" customFormat="1" ht="15" customHeight="1">
      <c r="A48" s="793"/>
      <c r="B48" s="793"/>
      <c r="C48" s="793"/>
      <c r="D48" s="22">
        <v>1</v>
      </c>
      <c r="E48" s="22"/>
      <c r="F48" s="22">
        <v>1</v>
      </c>
      <c r="G48" s="22">
        <v>1</v>
      </c>
      <c r="H48" s="22"/>
      <c r="I48" s="22" t="s">
        <v>212</v>
      </c>
      <c r="J48" s="22" t="s">
        <v>212</v>
      </c>
      <c r="K48" s="22">
        <v>1998</v>
      </c>
      <c r="L48" s="793"/>
      <c r="M48" s="145">
        <v>5700</v>
      </c>
    </row>
    <row r="49" spans="1:13" s="80" customFormat="1" ht="15" customHeight="1">
      <c r="A49" s="793"/>
      <c r="B49" s="793"/>
      <c r="C49" s="793"/>
      <c r="D49" s="22">
        <v>1</v>
      </c>
      <c r="E49" s="22"/>
      <c r="F49" s="22">
        <v>1</v>
      </c>
      <c r="G49" s="22">
        <v>1</v>
      </c>
      <c r="H49" s="22"/>
      <c r="I49" s="22" t="s">
        <v>212</v>
      </c>
      <c r="J49" s="222" t="s">
        <v>212</v>
      </c>
      <c r="K49" s="15">
        <v>1994</v>
      </c>
      <c r="L49" s="1045"/>
      <c r="M49" s="1046">
        <v>3200</v>
      </c>
    </row>
    <row r="50" spans="1:13" s="80" customFormat="1" ht="15" customHeight="1">
      <c r="A50" s="793"/>
      <c r="B50" s="793"/>
      <c r="C50" s="793"/>
      <c r="D50" s="22">
        <v>1</v>
      </c>
      <c r="E50" s="22"/>
      <c r="F50" s="22">
        <v>1</v>
      </c>
      <c r="G50" s="22">
        <v>1</v>
      </c>
      <c r="H50" s="22"/>
      <c r="I50" s="222" t="s">
        <v>212</v>
      </c>
      <c r="J50" s="222" t="s">
        <v>212</v>
      </c>
      <c r="K50" s="15">
        <v>2003</v>
      </c>
      <c r="L50" s="1045"/>
      <c r="M50" s="1046"/>
    </row>
    <row r="51" spans="1:13" s="80" customFormat="1" ht="15" customHeight="1">
      <c r="A51" s="793"/>
      <c r="B51" s="793"/>
      <c r="C51" s="793"/>
      <c r="D51" s="22">
        <v>1</v>
      </c>
      <c r="E51" s="22">
        <v>1</v>
      </c>
      <c r="F51" s="22"/>
      <c r="G51" s="22">
        <v>1</v>
      </c>
      <c r="H51" s="22"/>
      <c r="I51" s="222" t="s">
        <v>212</v>
      </c>
      <c r="J51" s="222" t="s">
        <v>212</v>
      </c>
      <c r="K51" s="15">
        <v>1999</v>
      </c>
      <c r="L51" s="1045"/>
      <c r="M51" s="1046"/>
    </row>
    <row r="52" spans="1:13" s="80" customFormat="1" ht="15" customHeight="1">
      <c r="A52" s="793"/>
      <c r="B52" s="793"/>
      <c r="C52" s="793"/>
      <c r="D52" s="22">
        <v>1</v>
      </c>
      <c r="E52" s="22"/>
      <c r="F52" s="22">
        <v>1</v>
      </c>
      <c r="G52" s="22"/>
      <c r="H52" s="22">
        <v>1</v>
      </c>
      <c r="I52" s="22" t="s">
        <v>212</v>
      </c>
      <c r="J52" s="222" t="s">
        <v>20</v>
      </c>
      <c r="K52" s="15">
        <v>2009</v>
      </c>
      <c r="L52" s="793"/>
      <c r="M52" s="145">
        <v>387</v>
      </c>
    </row>
    <row r="53" spans="1:13" s="80" customFormat="1" ht="15" customHeight="1">
      <c r="A53" s="793"/>
      <c r="B53" s="793"/>
      <c r="C53" s="793"/>
      <c r="D53" s="22">
        <v>1</v>
      </c>
      <c r="E53" s="22"/>
      <c r="F53" s="22">
        <v>1</v>
      </c>
      <c r="G53" s="22">
        <v>1</v>
      </c>
      <c r="H53" s="22"/>
      <c r="I53" s="222" t="s">
        <v>212</v>
      </c>
      <c r="J53" s="222" t="s">
        <v>336</v>
      </c>
      <c r="K53" s="15">
        <v>1994</v>
      </c>
      <c r="L53" s="793"/>
      <c r="M53" s="145">
        <v>2580</v>
      </c>
    </row>
    <row r="54" spans="1:14" s="80" customFormat="1" ht="15" customHeight="1">
      <c r="A54" s="793"/>
      <c r="B54" s="793"/>
      <c r="C54" s="793"/>
      <c r="D54" s="22">
        <v>1</v>
      </c>
      <c r="E54" s="22"/>
      <c r="F54" s="22">
        <v>1</v>
      </c>
      <c r="G54" s="22"/>
      <c r="H54" s="22">
        <v>1</v>
      </c>
      <c r="I54" s="22" t="s">
        <v>18</v>
      </c>
      <c r="J54" s="222" t="s">
        <v>18</v>
      </c>
      <c r="K54" s="15">
        <v>2003</v>
      </c>
      <c r="L54" s="1045"/>
      <c r="M54" s="1046">
        <v>3316</v>
      </c>
      <c r="N54" s="284"/>
    </row>
    <row r="55" spans="1:13" s="80" customFormat="1" ht="15" customHeight="1">
      <c r="A55" s="793"/>
      <c r="B55" s="793"/>
      <c r="C55" s="793"/>
      <c r="D55" s="22">
        <v>1</v>
      </c>
      <c r="E55" s="22">
        <v>1</v>
      </c>
      <c r="F55" s="22"/>
      <c r="G55" s="22"/>
      <c r="H55" s="22">
        <v>1</v>
      </c>
      <c r="I55" s="22" t="s">
        <v>212</v>
      </c>
      <c r="J55" s="222" t="s">
        <v>18</v>
      </c>
      <c r="K55" s="15">
        <v>2006</v>
      </c>
      <c r="L55" s="1045"/>
      <c r="M55" s="1046"/>
    </row>
    <row r="56" spans="1:13" s="161" customFormat="1" ht="15" customHeight="1">
      <c r="A56" s="1036" t="s">
        <v>328</v>
      </c>
      <c r="B56" s="1036"/>
      <c r="C56" s="108"/>
      <c r="D56" s="108">
        <f>SUM(D48:D55)</f>
        <v>8</v>
      </c>
      <c r="E56" s="108">
        <f>SUM(E48:E55)</f>
        <v>2</v>
      </c>
      <c r="F56" s="108">
        <f>SUM(F48:F54)</f>
        <v>6</v>
      </c>
      <c r="G56" s="108">
        <f>SUM(G48:G54)</f>
        <v>5</v>
      </c>
      <c r="H56" s="108">
        <f>SUM(H49:H55)</f>
        <v>3</v>
      </c>
      <c r="I56" s="108"/>
      <c r="J56" s="108"/>
      <c r="K56" s="127"/>
      <c r="L56" s="144"/>
      <c r="M56" s="149">
        <f>SUM(M48:M54)</f>
        <v>15183</v>
      </c>
    </row>
    <row r="57" spans="1:13" s="162" customFormat="1" ht="15" customHeight="1">
      <c r="A57" s="1037" t="s">
        <v>227</v>
      </c>
      <c r="B57" s="1037"/>
      <c r="C57" s="101"/>
      <c r="D57" s="101">
        <f>D56+D39+D31+D24+D10</f>
        <v>27</v>
      </c>
      <c r="E57" s="101">
        <f>E56+E39+E31+E24+E10</f>
        <v>10</v>
      </c>
      <c r="F57" s="101">
        <f>F56+F39+F31+F24+F10</f>
        <v>17</v>
      </c>
      <c r="G57" s="101">
        <f>G56+G39+G31+G24+G10</f>
        <v>19</v>
      </c>
      <c r="H57" s="101">
        <f>H56+H39+H31+H24+H10</f>
        <v>8</v>
      </c>
      <c r="I57" s="101"/>
      <c r="J57" s="101"/>
      <c r="K57" s="107"/>
      <c r="L57" s="106"/>
      <c r="M57" s="150">
        <f>M56+M39+M31+M24+M10</f>
        <v>104787.39</v>
      </c>
    </row>
    <row r="58" spans="12:13" ht="12.75">
      <c r="L58" s="54"/>
      <c r="M58" s="54"/>
    </row>
    <row r="60" ht="12.75">
      <c r="M60" s="25"/>
    </row>
  </sheetData>
  <mergeCells count="27">
    <mergeCell ref="A39:B39"/>
    <mergeCell ref="A46:B46"/>
    <mergeCell ref="A56:B56"/>
    <mergeCell ref="A57:B57"/>
    <mergeCell ref="A40:B40"/>
    <mergeCell ref="A42:B42"/>
    <mergeCell ref="A43:B43"/>
    <mergeCell ref="A45:B45"/>
    <mergeCell ref="A24:B24"/>
    <mergeCell ref="A28:B28"/>
    <mergeCell ref="A31:B31"/>
    <mergeCell ref="A35:B35"/>
    <mergeCell ref="A25:B25"/>
    <mergeCell ref="A27:B27"/>
    <mergeCell ref="A32:B32"/>
    <mergeCell ref="A34:B34"/>
    <mergeCell ref="L49:L51"/>
    <mergeCell ref="M49:M51"/>
    <mergeCell ref="L54:L55"/>
    <mergeCell ref="M54:M55"/>
    <mergeCell ref="A1:L1"/>
    <mergeCell ref="A2:M2"/>
    <mergeCell ref="L21:L22"/>
    <mergeCell ref="M21:M22"/>
    <mergeCell ref="A3:B3"/>
    <mergeCell ref="A10:B10"/>
    <mergeCell ref="A11:B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21"/>
  <sheetViews>
    <sheetView tabSelected="1" workbookViewId="0" topLeftCell="A1">
      <selection activeCell="H26" sqref="H26"/>
    </sheetView>
  </sheetViews>
  <sheetFormatPr defaultColWidth="9.140625" defaultRowHeight="12.75"/>
  <cols>
    <col min="1" max="3" width="20.7109375" style="24" customWidth="1"/>
    <col min="4" max="4" width="7.57421875" style="24" customWidth="1"/>
    <col min="5" max="6" width="5.7109375" style="24" customWidth="1"/>
    <col min="7" max="8" width="9.7109375" style="24" customWidth="1"/>
    <col min="9" max="10" width="13.7109375" style="24" customWidth="1"/>
    <col min="11" max="11" width="10.140625" style="24" customWidth="1"/>
    <col min="12" max="13" width="18.7109375" style="24" customWidth="1"/>
    <col min="14" max="16384" width="11.57421875" style="54" customWidth="1"/>
  </cols>
  <sheetData>
    <row r="1" spans="1:13" s="48" customFormat="1" ht="30" customHeight="1">
      <c r="A1" s="1007" t="s">
        <v>402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458">
        <v>40071152</v>
      </c>
    </row>
    <row r="2" spans="1:13" s="49" customFormat="1" ht="29.25" customHeight="1">
      <c r="A2" s="1044" t="s">
        <v>339</v>
      </c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9"/>
    </row>
    <row r="3" spans="1:13" s="51" customFormat="1" ht="14.25" customHeight="1">
      <c r="A3" s="1047" t="s">
        <v>72</v>
      </c>
      <c r="B3" s="1047"/>
      <c r="C3" s="19"/>
      <c r="D3" s="19"/>
      <c r="E3" s="19"/>
      <c r="F3" s="19"/>
      <c r="G3" s="19"/>
      <c r="H3" s="19"/>
      <c r="I3" s="19"/>
      <c r="J3" s="19"/>
      <c r="K3" s="19"/>
      <c r="L3" s="29"/>
      <c r="M3" s="160"/>
    </row>
    <row r="4" spans="1:13" s="50" customFormat="1" ht="48" customHeight="1">
      <c r="A4" s="39" t="s">
        <v>332</v>
      </c>
      <c r="B4" s="39" t="s">
        <v>333</v>
      </c>
      <c r="C4" s="115" t="s">
        <v>213</v>
      </c>
      <c r="D4" s="115" t="s">
        <v>36</v>
      </c>
      <c r="E4" s="115" t="s">
        <v>73</v>
      </c>
      <c r="F4" s="115" t="s">
        <v>74</v>
      </c>
      <c r="G4" s="115" t="s">
        <v>37</v>
      </c>
      <c r="H4" s="115" t="s">
        <v>38</v>
      </c>
      <c r="I4" s="115" t="s">
        <v>15</v>
      </c>
      <c r="J4" s="115" t="s">
        <v>214</v>
      </c>
      <c r="K4" s="115" t="s">
        <v>39</v>
      </c>
      <c r="L4" s="115" t="s">
        <v>59</v>
      </c>
      <c r="M4" s="130" t="s">
        <v>215</v>
      </c>
    </row>
    <row r="5" spans="1:13" s="63" customFormat="1" ht="15" customHeight="1">
      <c r="A5" s="791"/>
      <c r="B5" s="791"/>
      <c r="C5" s="792"/>
      <c r="D5" s="21">
        <v>1</v>
      </c>
      <c r="E5" s="22"/>
      <c r="F5" s="22">
        <v>1</v>
      </c>
      <c r="G5" s="22">
        <v>1</v>
      </c>
      <c r="H5" s="22"/>
      <c r="I5" s="22" t="s">
        <v>212</v>
      </c>
      <c r="J5" s="22" t="s">
        <v>212</v>
      </c>
      <c r="K5" s="22">
        <v>1998</v>
      </c>
      <c r="L5" s="1045"/>
      <c r="M5" s="1049">
        <v>480</v>
      </c>
    </row>
    <row r="6" spans="1:13" s="63" customFormat="1" ht="15" customHeight="1">
      <c r="A6" s="791"/>
      <c r="B6" s="791"/>
      <c r="C6" s="792"/>
      <c r="D6" s="21">
        <v>1</v>
      </c>
      <c r="E6" s="22"/>
      <c r="F6" s="22">
        <v>1</v>
      </c>
      <c r="G6" s="22">
        <v>1</v>
      </c>
      <c r="H6" s="22"/>
      <c r="I6" s="222" t="s">
        <v>212</v>
      </c>
      <c r="J6" s="222" t="s">
        <v>212</v>
      </c>
      <c r="K6" s="15">
        <v>2002</v>
      </c>
      <c r="L6" s="1045"/>
      <c r="M6" s="1049"/>
    </row>
    <row r="7" spans="1:13" s="63" customFormat="1" ht="15" customHeight="1">
      <c r="A7" s="791"/>
      <c r="B7" s="791"/>
      <c r="C7" s="792"/>
      <c r="D7" s="21">
        <v>1</v>
      </c>
      <c r="E7" s="22">
        <v>1</v>
      </c>
      <c r="F7" s="22"/>
      <c r="G7" s="22">
        <v>1</v>
      </c>
      <c r="H7" s="22"/>
      <c r="I7" s="22" t="s">
        <v>212</v>
      </c>
      <c r="J7" s="222" t="s">
        <v>148</v>
      </c>
      <c r="K7" s="15">
        <v>2004</v>
      </c>
      <c r="L7" s="792"/>
      <c r="M7" s="143">
        <v>180</v>
      </c>
    </row>
    <row r="8" spans="1:13" s="53" customFormat="1" ht="15" customHeight="1">
      <c r="A8" s="791"/>
      <c r="B8" s="791"/>
      <c r="C8" s="792"/>
      <c r="D8" s="21">
        <v>1</v>
      </c>
      <c r="E8" s="22"/>
      <c r="F8" s="22">
        <v>1</v>
      </c>
      <c r="G8" s="22">
        <v>1</v>
      </c>
      <c r="H8" s="22"/>
      <c r="I8" s="22" t="s">
        <v>16</v>
      </c>
      <c r="J8" s="222" t="s">
        <v>155</v>
      </c>
      <c r="K8" s="15">
        <v>1999</v>
      </c>
      <c r="L8" s="792"/>
      <c r="M8" s="143">
        <v>0</v>
      </c>
    </row>
    <row r="9" spans="1:13" s="63" customFormat="1" ht="15" customHeight="1">
      <c r="A9" s="791"/>
      <c r="B9" s="791"/>
      <c r="C9" s="792"/>
      <c r="D9" s="21">
        <v>1</v>
      </c>
      <c r="E9" s="22">
        <v>1</v>
      </c>
      <c r="F9" s="22"/>
      <c r="G9" s="22"/>
      <c r="H9" s="22">
        <v>1</v>
      </c>
      <c r="I9" s="22" t="s">
        <v>212</v>
      </c>
      <c r="J9" s="222" t="s">
        <v>18</v>
      </c>
      <c r="K9" s="15">
        <v>2000</v>
      </c>
      <c r="L9" s="792"/>
      <c r="M9" s="143">
        <v>720</v>
      </c>
    </row>
    <row r="10" spans="1:13" s="63" customFormat="1" ht="15" customHeight="1">
      <c r="A10" s="791"/>
      <c r="B10" s="791"/>
      <c r="C10" s="792"/>
      <c r="D10" s="21">
        <v>1</v>
      </c>
      <c r="E10" s="22"/>
      <c r="F10" s="22">
        <v>1</v>
      </c>
      <c r="G10" s="22"/>
      <c r="H10" s="22">
        <v>1</v>
      </c>
      <c r="I10" s="22" t="s">
        <v>21</v>
      </c>
      <c r="J10" s="222" t="s">
        <v>21</v>
      </c>
      <c r="K10" s="15">
        <v>1996</v>
      </c>
      <c r="L10" s="1045"/>
      <c r="M10" s="1048">
        <v>300</v>
      </c>
    </row>
    <row r="11" spans="1:13" s="63" customFormat="1" ht="15" customHeight="1">
      <c r="A11" s="791"/>
      <c r="B11" s="791"/>
      <c r="C11" s="792"/>
      <c r="D11" s="21">
        <v>1</v>
      </c>
      <c r="E11" s="21">
        <v>1</v>
      </c>
      <c r="F11" s="21"/>
      <c r="G11" s="21"/>
      <c r="H11" s="21">
        <v>1</v>
      </c>
      <c r="I11" s="22" t="s">
        <v>21</v>
      </c>
      <c r="J11" s="222" t="s">
        <v>21</v>
      </c>
      <c r="K11" s="21">
        <v>2005</v>
      </c>
      <c r="L11" s="1045"/>
      <c r="M11" s="1048"/>
    </row>
    <row r="12" spans="1:13" s="63" customFormat="1" ht="15" customHeight="1">
      <c r="A12" s="791"/>
      <c r="B12" s="791"/>
      <c r="C12" s="792"/>
      <c r="D12" s="21">
        <v>1</v>
      </c>
      <c r="E12" s="22">
        <v>1</v>
      </c>
      <c r="F12" s="22"/>
      <c r="G12" s="22">
        <v>1</v>
      </c>
      <c r="H12" s="22"/>
      <c r="I12" s="22" t="s">
        <v>212</v>
      </c>
      <c r="J12" s="222" t="s">
        <v>422</v>
      </c>
      <c r="K12" s="15">
        <v>1999</v>
      </c>
      <c r="L12" s="792"/>
      <c r="M12" s="143">
        <v>540</v>
      </c>
    </row>
    <row r="13" spans="1:13" s="63" customFormat="1" ht="15" customHeight="1">
      <c r="A13" s="791"/>
      <c r="B13" s="791"/>
      <c r="C13" s="792"/>
      <c r="D13" s="21">
        <v>1</v>
      </c>
      <c r="E13" s="22"/>
      <c r="F13" s="22">
        <v>1</v>
      </c>
      <c r="G13" s="22">
        <v>1</v>
      </c>
      <c r="H13" s="22"/>
      <c r="I13" s="222" t="s">
        <v>212</v>
      </c>
      <c r="J13" s="222" t="s">
        <v>212</v>
      </c>
      <c r="K13" s="15">
        <v>2005</v>
      </c>
      <c r="L13" s="792"/>
      <c r="M13" s="143">
        <v>120</v>
      </c>
    </row>
    <row r="14" spans="1:13" s="63" customFormat="1" ht="15" customHeight="1">
      <c r="A14" s="791"/>
      <c r="B14" s="791"/>
      <c r="C14" s="792"/>
      <c r="D14" s="21">
        <v>1</v>
      </c>
      <c r="E14" s="22">
        <v>1</v>
      </c>
      <c r="F14" s="22"/>
      <c r="G14" s="22">
        <v>1</v>
      </c>
      <c r="H14" s="22"/>
      <c r="I14" s="222" t="s">
        <v>212</v>
      </c>
      <c r="J14" s="222" t="s">
        <v>212</v>
      </c>
      <c r="K14" s="15">
        <v>2001</v>
      </c>
      <c r="L14" s="1045"/>
      <c r="M14" s="1048">
        <v>1254</v>
      </c>
    </row>
    <row r="15" spans="1:13" s="63" customFormat="1" ht="15" customHeight="1">
      <c r="A15" s="791"/>
      <c r="B15" s="791"/>
      <c r="C15" s="792"/>
      <c r="D15" s="21">
        <v>1</v>
      </c>
      <c r="E15" s="21">
        <v>1</v>
      </c>
      <c r="F15" s="21"/>
      <c r="G15" s="21">
        <v>1</v>
      </c>
      <c r="H15" s="21"/>
      <c r="I15" s="222" t="s">
        <v>212</v>
      </c>
      <c r="J15" s="222" t="s">
        <v>212</v>
      </c>
      <c r="K15" s="15">
        <v>1999</v>
      </c>
      <c r="L15" s="1045"/>
      <c r="M15" s="1048"/>
    </row>
    <row r="16" spans="1:13" s="63" customFormat="1" ht="15" customHeight="1">
      <c r="A16" s="791"/>
      <c r="B16" s="791"/>
      <c r="C16" s="792"/>
      <c r="D16" s="21">
        <v>1</v>
      </c>
      <c r="E16" s="22">
        <v>1</v>
      </c>
      <c r="F16" s="22"/>
      <c r="G16" s="22">
        <v>1</v>
      </c>
      <c r="H16" s="22"/>
      <c r="I16" s="222" t="s">
        <v>212</v>
      </c>
      <c r="J16" s="222" t="s">
        <v>507</v>
      </c>
      <c r="K16" s="15">
        <v>2006</v>
      </c>
      <c r="L16" s="792"/>
      <c r="M16" s="143">
        <v>480</v>
      </c>
    </row>
    <row r="17" spans="1:13" s="63" customFormat="1" ht="15" customHeight="1">
      <c r="A17" s="791"/>
      <c r="B17" s="791"/>
      <c r="C17" s="792"/>
      <c r="D17" s="21">
        <v>1</v>
      </c>
      <c r="E17" s="21">
        <v>1</v>
      </c>
      <c r="F17" s="21"/>
      <c r="G17" s="21">
        <v>1</v>
      </c>
      <c r="H17" s="21"/>
      <c r="I17" s="222" t="s">
        <v>212</v>
      </c>
      <c r="J17" s="222" t="s">
        <v>212</v>
      </c>
      <c r="K17" s="15">
        <v>1996</v>
      </c>
      <c r="L17" s="792"/>
      <c r="M17" s="143">
        <v>720</v>
      </c>
    </row>
    <row r="18" spans="1:13" s="63" customFormat="1" ht="15" customHeight="1">
      <c r="A18" s="791"/>
      <c r="B18" s="791"/>
      <c r="C18" s="792"/>
      <c r="D18" s="21">
        <v>1</v>
      </c>
      <c r="E18" s="21"/>
      <c r="F18" s="21">
        <v>1</v>
      </c>
      <c r="G18" s="21"/>
      <c r="H18" s="22">
        <v>1</v>
      </c>
      <c r="I18" s="22" t="s">
        <v>18</v>
      </c>
      <c r="J18" s="222" t="s">
        <v>18</v>
      </c>
      <c r="K18" s="15">
        <v>2003</v>
      </c>
      <c r="L18" s="1045"/>
      <c r="M18" s="1048">
        <v>498</v>
      </c>
    </row>
    <row r="19" spans="1:13" s="63" customFormat="1" ht="15" customHeight="1">
      <c r="A19" s="791"/>
      <c r="B19" s="791"/>
      <c r="C19" s="792"/>
      <c r="D19" s="21">
        <v>1</v>
      </c>
      <c r="E19" s="21">
        <v>1</v>
      </c>
      <c r="F19" s="21"/>
      <c r="G19" s="21"/>
      <c r="H19" s="22">
        <v>1</v>
      </c>
      <c r="I19" s="22" t="s">
        <v>18</v>
      </c>
      <c r="J19" s="222" t="s">
        <v>18</v>
      </c>
      <c r="K19" s="15">
        <v>2006</v>
      </c>
      <c r="L19" s="1045"/>
      <c r="M19" s="1048"/>
    </row>
    <row r="20" spans="1:13" s="63" customFormat="1" ht="15" customHeight="1">
      <c r="A20" s="1050" t="s">
        <v>328</v>
      </c>
      <c r="B20" s="1050"/>
      <c r="C20" s="83"/>
      <c r="D20" s="553">
        <v>15</v>
      </c>
      <c r="E20" s="553">
        <v>9</v>
      </c>
      <c r="F20" s="553">
        <v>6</v>
      </c>
      <c r="G20" s="553">
        <f>SUM(G4:G18)</f>
        <v>10</v>
      </c>
      <c r="H20" s="553">
        <v>5</v>
      </c>
      <c r="I20" s="553"/>
      <c r="J20" s="553"/>
      <c r="K20" s="554"/>
      <c r="L20" s="552"/>
      <c r="M20" s="550">
        <f>SUM(M4:M18)</f>
        <v>5292</v>
      </c>
    </row>
    <row r="21" spans="1:13" s="161" customFormat="1" ht="15" customHeight="1">
      <c r="A21" s="1037" t="s">
        <v>468</v>
      </c>
      <c r="B21" s="1037"/>
      <c r="C21" s="108"/>
      <c r="D21" s="193">
        <f>SUM(D5:D19)</f>
        <v>15</v>
      </c>
      <c r="E21" s="193">
        <f>SUM(E5:E19)</f>
        <v>9</v>
      </c>
      <c r="F21" s="193">
        <f>SUM(F5:F18)</f>
        <v>6</v>
      </c>
      <c r="G21" s="193">
        <f>SUM(G5:G19)</f>
        <v>10</v>
      </c>
      <c r="H21" s="193">
        <f>SUM(H5:H19)</f>
        <v>5</v>
      </c>
      <c r="I21" s="108"/>
      <c r="J21" s="108"/>
      <c r="K21" s="127"/>
      <c r="L21" s="144"/>
      <c r="M21" s="150">
        <f>SUM(M5:M19)</f>
        <v>5292</v>
      </c>
    </row>
  </sheetData>
  <mergeCells count="13">
    <mergeCell ref="A21:B21"/>
    <mergeCell ref="L10:L11"/>
    <mergeCell ref="M10:M11"/>
    <mergeCell ref="A2:M2"/>
    <mergeCell ref="L5:L6"/>
    <mergeCell ref="M5:M6"/>
    <mergeCell ref="L18:L19"/>
    <mergeCell ref="M18:M19"/>
    <mergeCell ref="A20:B20"/>
    <mergeCell ref="A1:L1"/>
    <mergeCell ref="A3:B3"/>
    <mergeCell ref="L14:L15"/>
    <mergeCell ref="M14:M1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R144"/>
  <sheetViews>
    <sheetView workbookViewId="0" topLeftCell="A58">
      <selection activeCell="A66" sqref="A66:C66"/>
    </sheetView>
  </sheetViews>
  <sheetFormatPr defaultColWidth="9.140625" defaultRowHeight="12.75"/>
  <cols>
    <col min="1" max="3" width="20.7109375" style="141" customWidth="1"/>
    <col min="4" max="4" width="7.57421875" style="20" customWidth="1"/>
    <col min="5" max="6" width="5.7109375" style="20" customWidth="1"/>
    <col min="7" max="8" width="9.7109375" style="20" customWidth="1"/>
    <col min="9" max="10" width="13.7109375" style="20" customWidth="1"/>
    <col min="11" max="11" width="10.140625" style="20" customWidth="1"/>
    <col min="12" max="12" width="15.7109375" style="20" customWidth="1"/>
    <col min="13" max="13" width="15.7109375" style="216" customWidth="1"/>
    <col min="14" max="14" width="20.7109375" style="47" customWidth="1"/>
    <col min="15" max="15" width="20.7109375" style="70" customWidth="1"/>
    <col min="16" max="17" width="10.7109375" style="20" bestFit="1" customWidth="1"/>
    <col min="18" max="18" width="9.7109375" style="20" bestFit="1" customWidth="1"/>
    <col min="19" max="16384" width="9.140625" style="20" customWidth="1"/>
  </cols>
  <sheetData>
    <row r="1" spans="1:17" ht="30" customHeight="1">
      <c r="A1" s="1007" t="s">
        <v>126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480">
        <v>40071150</v>
      </c>
      <c r="P1" s="216"/>
      <c r="Q1" s="216"/>
    </row>
    <row r="2" spans="1:15" s="389" customFormat="1" ht="30.75" customHeight="1">
      <c r="A2" s="1044" t="s">
        <v>120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</row>
    <row r="3" spans="1:15" s="389" customFormat="1" ht="15" customHeight="1">
      <c r="A3" s="1051" t="s">
        <v>66</v>
      </c>
      <c r="B3" s="1051"/>
      <c r="C3" s="138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388"/>
      <c r="O3" s="117"/>
    </row>
    <row r="4" spans="1:15" s="389" customFormat="1" ht="48" customHeight="1">
      <c r="A4" s="39" t="s">
        <v>332</v>
      </c>
      <c r="B4" s="39" t="s">
        <v>333</v>
      </c>
      <c r="C4" s="115" t="s">
        <v>213</v>
      </c>
      <c r="D4" s="39" t="s">
        <v>61</v>
      </c>
      <c r="E4" s="115" t="s">
        <v>73</v>
      </c>
      <c r="F4" s="115" t="s">
        <v>74</v>
      </c>
      <c r="G4" s="39" t="s">
        <v>37</v>
      </c>
      <c r="H4" s="39" t="s">
        <v>38</v>
      </c>
      <c r="I4" s="115" t="s">
        <v>15</v>
      </c>
      <c r="J4" s="115" t="s">
        <v>214</v>
      </c>
      <c r="K4" s="115" t="s">
        <v>39</v>
      </c>
      <c r="L4" s="39" t="s">
        <v>60</v>
      </c>
      <c r="M4" s="115" t="s">
        <v>23</v>
      </c>
      <c r="N4" s="115" t="s">
        <v>25</v>
      </c>
      <c r="O4" s="116" t="s">
        <v>24</v>
      </c>
    </row>
    <row r="5" spans="1:15" s="389" customFormat="1" ht="15" customHeight="1">
      <c r="A5" s="1052" t="s">
        <v>75</v>
      </c>
      <c r="B5" s="1052"/>
      <c r="C5" s="614"/>
      <c r="D5" s="107">
        <v>0</v>
      </c>
      <c r="E5" s="614">
        <v>0</v>
      </c>
      <c r="F5" s="614">
        <v>0</v>
      </c>
      <c r="G5" s="107">
        <v>0</v>
      </c>
      <c r="H5" s="107">
        <v>0</v>
      </c>
      <c r="I5" s="614"/>
      <c r="J5" s="614"/>
      <c r="K5" s="614"/>
      <c r="L5" s="107"/>
      <c r="M5" s="614"/>
      <c r="N5" s="614"/>
      <c r="O5" s="619"/>
    </row>
    <row r="6" spans="1:15" s="54" customFormat="1" ht="15" customHeight="1">
      <c r="A6" s="1051" t="s">
        <v>64</v>
      </c>
      <c r="B6" s="1051"/>
      <c r="C6" s="138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388"/>
      <c r="O6" s="117"/>
    </row>
    <row r="7" spans="1:15" s="54" customFormat="1" ht="48" customHeight="1">
      <c r="A7" s="39" t="s">
        <v>332</v>
      </c>
      <c r="B7" s="39" t="s">
        <v>333</v>
      </c>
      <c r="C7" s="115" t="s">
        <v>213</v>
      </c>
      <c r="D7" s="39" t="s">
        <v>61</v>
      </c>
      <c r="E7" s="115" t="s">
        <v>73</v>
      </c>
      <c r="F7" s="115" t="s">
        <v>74</v>
      </c>
      <c r="G7" s="39" t="s">
        <v>37</v>
      </c>
      <c r="H7" s="39" t="s">
        <v>38</v>
      </c>
      <c r="I7" s="115" t="s">
        <v>15</v>
      </c>
      <c r="J7" s="115" t="s">
        <v>214</v>
      </c>
      <c r="K7" s="115" t="s">
        <v>39</v>
      </c>
      <c r="L7" s="39" t="s">
        <v>60</v>
      </c>
      <c r="M7" s="115" t="s">
        <v>23</v>
      </c>
      <c r="N7" s="115" t="s">
        <v>25</v>
      </c>
      <c r="O7" s="116" t="s">
        <v>24</v>
      </c>
    </row>
    <row r="8" spans="1:15" s="54" customFormat="1" ht="15" customHeight="1">
      <c r="A8" s="791"/>
      <c r="B8" s="791"/>
      <c r="C8" s="790"/>
      <c r="D8" s="15">
        <v>1</v>
      </c>
      <c r="E8" s="15"/>
      <c r="F8" s="15">
        <v>1</v>
      </c>
      <c r="G8" s="15"/>
      <c r="H8" s="22">
        <v>1</v>
      </c>
      <c r="I8" s="22" t="s">
        <v>500</v>
      </c>
      <c r="J8" s="22" t="s">
        <v>500</v>
      </c>
      <c r="K8" s="22">
        <v>2003</v>
      </c>
      <c r="L8" s="22" t="s">
        <v>121</v>
      </c>
      <c r="M8" s="79">
        <v>0</v>
      </c>
      <c r="N8" s="151">
        <v>125</v>
      </c>
      <c r="O8" s="151">
        <v>0</v>
      </c>
    </row>
    <row r="9" spans="1:15" s="54" customFormat="1" ht="15" customHeight="1">
      <c r="A9" s="791"/>
      <c r="B9" s="791"/>
      <c r="C9" s="790"/>
      <c r="D9" s="15">
        <v>1</v>
      </c>
      <c r="E9" s="22">
        <v>1</v>
      </c>
      <c r="F9" s="15"/>
      <c r="G9" s="22">
        <v>1</v>
      </c>
      <c r="H9" s="15"/>
      <c r="I9" s="22" t="s">
        <v>212</v>
      </c>
      <c r="J9" s="22" t="s">
        <v>212</v>
      </c>
      <c r="K9" s="22">
        <v>2001</v>
      </c>
      <c r="L9" s="22" t="s">
        <v>121</v>
      </c>
      <c r="M9" s="79">
        <v>0</v>
      </c>
      <c r="N9" s="151">
        <v>137</v>
      </c>
      <c r="O9" s="151">
        <v>0</v>
      </c>
    </row>
    <row r="10" spans="1:15" s="54" customFormat="1" ht="15" customHeight="1">
      <c r="A10" s="791"/>
      <c r="B10" s="791"/>
      <c r="C10" s="790"/>
      <c r="D10" s="15">
        <v>1</v>
      </c>
      <c r="E10" s="15"/>
      <c r="F10" s="15">
        <v>1</v>
      </c>
      <c r="G10" s="15">
        <v>1</v>
      </c>
      <c r="H10" s="15"/>
      <c r="I10" s="22" t="s">
        <v>212</v>
      </c>
      <c r="J10" s="22" t="s">
        <v>212</v>
      </c>
      <c r="K10" s="22">
        <v>2006</v>
      </c>
      <c r="L10" s="22" t="s">
        <v>121</v>
      </c>
      <c r="M10" s="79">
        <v>450</v>
      </c>
      <c r="N10" s="151">
        <v>0</v>
      </c>
      <c r="O10" s="151">
        <v>0</v>
      </c>
    </row>
    <row r="11" spans="1:15" s="80" customFormat="1" ht="15" customHeight="1">
      <c r="A11" s="791"/>
      <c r="B11" s="791"/>
      <c r="C11" s="790"/>
      <c r="D11" s="22">
        <v>1</v>
      </c>
      <c r="E11" s="22">
        <v>1</v>
      </c>
      <c r="F11" s="22"/>
      <c r="G11" s="22">
        <v>1</v>
      </c>
      <c r="H11" s="22"/>
      <c r="I11" s="22" t="s">
        <v>212</v>
      </c>
      <c r="J11" s="22" t="s">
        <v>212</v>
      </c>
      <c r="K11" s="22">
        <v>2002</v>
      </c>
      <c r="L11" s="22" t="s">
        <v>121</v>
      </c>
      <c r="M11" s="76">
        <v>360</v>
      </c>
      <c r="N11" s="145">
        <v>0</v>
      </c>
      <c r="O11" s="151">
        <v>0</v>
      </c>
    </row>
    <row r="12" spans="1:15" s="54" customFormat="1" ht="15" customHeight="1">
      <c r="A12" s="791"/>
      <c r="B12" s="791"/>
      <c r="C12" s="790"/>
      <c r="D12" s="15">
        <v>1</v>
      </c>
      <c r="E12" s="22">
        <v>1</v>
      </c>
      <c r="F12" s="22"/>
      <c r="G12" s="22"/>
      <c r="H12" s="22">
        <v>1</v>
      </c>
      <c r="I12" s="22" t="s">
        <v>16</v>
      </c>
      <c r="J12" s="22" t="s">
        <v>16</v>
      </c>
      <c r="K12" s="22">
        <v>2000</v>
      </c>
      <c r="L12" s="22" t="s">
        <v>121</v>
      </c>
      <c r="M12" s="79">
        <v>290</v>
      </c>
      <c r="N12" s="151">
        <v>0</v>
      </c>
      <c r="O12" s="151">
        <v>0</v>
      </c>
    </row>
    <row r="13" spans="1:15" s="54" customFormat="1" ht="15" customHeight="1">
      <c r="A13" s="791"/>
      <c r="B13" s="791"/>
      <c r="C13" s="790"/>
      <c r="D13" s="15">
        <v>1</v>
      </c>
      <c r="E13" s="22">
        <v>1</v>
      </c>
      <c r="F13" s="22"/>
      <c r="G13" s="22">
        <v>1</v>
      </c>
      <c r="H13" s="22"/>
      <c r="I13" s="22" t="s">
        <v>212</v>
      </c>
      <c r="J13" s="22" t="s">
        <v>212</v>
      </c>
      <c r="K13" s="22">
        <v>2003</v>
      </c>
      <c r="L13" s="22" t="s">
        <v>121</v>
      </c>
      <c r="M13" s="79">
        <v>0</v>
      </c>
      <c r="N13" s="151">
        <v>203</v>
      </c>
      <c r="O13" s="151">
        <v>0</v>
      </c>
    </row>
    <row r="14" spans="1:15" s="54" customFormat="1" ht="15" customHeight="1">
      <c r="A14" s="791"/>
      <c r="B14" s="791"/>
      <c r="C14" s="790"/>
      <c r="D14" s="15">
        <v>1</v>
      </c>
      <c r="E14" s="22">
        <v>1</v>
      </c>
      <c r="F14" s="22"/>
      <c r="G14" s="22">
        <v>1</v>
      </c>
      <c r="H14" s="22"/>
      <c r="I14" s="22" t="s">
        <v>212</v>
      </c>
      <c r="J14" s="22" t="s">
        <v>129</v>
      </c>
      <c r="K14" s="22">
        <v>2001</v>
      </c>
      <c r="L14" s="22" t="s">
        <v>121</v>
      </c>
      <c r="M14" s="79">
        <f>180+14</f>
        <v>194</v>
      </c>
      <c r="N14" s="151">
        <v>0</v>
      </c>
      <c r="O14" s="151">
        <v>0</v>
      </c>
    </row>
    <row r="15" spans="1:15" s="54" customFormat="1" ht="15" customHeight="1">
      <c r="A15" s="794"/>
      <c r="B15" s="794"/>
      <c r="C15" s="790"/>
      <c r="D15" s="15">
        <v>1</v>
      </c>
      <c r="E15" s="15"/>
      <c r="F15" s="15">
        <v>1</v>
      </c>
      <c r="G15" s="15">
        <v>1</v>
      </c>
      <c r="H15" s="15"/>
      <c r="I15" s="22" t="s">
        <v>212</v>
      </c>
      <c r="J15" s="22" t="s">
        <v>129</v>
      </c>
      <c r="K15" s="22">
        <v>2000</v>
      </c>
      <c r="L15" s="22" t="s">
        <v>121</v>
      </c>
      <c r="M15" s="79">
        <v>194</v>
      </c>
      <c r="N15" s="151">
        <v>0</v>
      </c>
      <c r="O15" s="151">
        <v>0</v>
      </c>
    </row>
    <row r="16" spans="1:15" s="54" customFormat="1" ht="15" customHeight="1">
      <c r="A16" s="791"/>
      <c r="B16" s="791"/>
      <c r="C16" s="790"/>
      <c r="D16" s="15">
        <v>1</v>
      </c>
      <c r="E16" s="15"/>
      <c r="F16" s="15">
        <v>1</v>
      </c>
      <c r="G16" s="15"/>
      <c r="H16" s="15">
        <v>1</v>
      </c>
      <c r="I16" s="22" t="s">
        <v>212</v>
      </c>
      <c r="J16" s="22" t="s">
        <v>16</v>
      </c>
      <c r="K16" s="22">
        <v>2002</v>
      </c>
      <c r="L16" s="22" t="s">
        <v>121</v>
      </c>
      <c r="M16" s="79">
        <v>900</v>
      </c>
      <c r="N16" s="151">
        <v>0</v>
      </c>
      <c r="O16" s="151">
        <v>0</v>
      </c>
    </row>
    <row r="17" spans="1:15" s="54" customFormat="1" ht="15" customHeight="1">
      <c r="A17" s="791"/>
      <c r="B17" s="791"/>
      <c r="C17" s="790"/>
      <c r="D17" s="15">
        <v>1</v>
      </c>
      <c r="E17" s="15">
        <v>1</v>
      </c>
      <c r="F17" s="15"/>
      <c r="G17" s="15"/>
      <c r="H17" s="15">
        <v>1</v>
      </c>
      <c r="I17" s="22" t="s">
        <v>212</v>
      </c>
      <c r="J17" s="22" t="s">
        <v>18</v>
      </c>
      <c r="K17" s="22">
        <v>2008</v>
      </c>
      <c r="L17" s="22" t="s">
        <v>121</v>
      </c>
      <c r="M17" s="79">
        <v>360</v>
      </c>
      <c r="N17" s="151">
        <v>0</v>
      </c>
      <c r="O17" s="151">
        <v>0</v>
      </c>
    </row>
    <row r="18" spans="1:15" s="54" customFormat="1" ht="15" customHeight="1">
      <c r="A18" s="791"/>
      <c r="B18" s="791"/>
      <c r="C18" s="790"/>
      <c r="D18" s="22">
        <v>1</v>
      </c>
      <c r="E18" s="22">
        <v>1</v>
      </c>
      <c r="F18" s="22"/>
      <c r="G18" s="15">
        <v>1</v>
      </c>
      <c r="H18" s="15"/>
      <c r="I18" s="22" t="s">
        <v>212</v>
      </c>
      <c r="J18" s="22" t="s">
        <v>212</v>
      </c>
      <c r="K18" s="22">
        <v>2002</v>
      </c>
      <c r="L18" s="22" t="s">
        <v>121</v>
      </c>
      <c r="M18" s="79">
        <v>180</v>
      </c>
      <c r="N18" s="151">
        <v>0</v>
      </c>
      <c r="O18" s="151">
        <v>0</v>
      </c>
    </row>
    <row r="19" spans="1:15" s="54" customFormat="1" ht="15" customHeight="1">
      <c r="A19" s="791"/>
      <c r="B19" s="791"/>
      <c r="C19" s="790"/>
      <c r="D19" s="22">
        <v>1</v>
      </c>
      <c r="E19" s="22"/>
      <c r="F19" s="22">
        <v>1</v>
      </c>
      <c r="G19" s="15">
        <v>1</v>
      </c>
      <c r="H19" s="15"/>
      <c r="I19" s="22" t="s">
        <v>212</v>
      </c>
      <c r="J19" s="22" t="s">
        <v>212</v>
      </c>
      <c r="K19" s="22">
        <v>2001</v>
      </c>
      <c r="L19" s="22" t="s">
        <v>121</v>
      </c>
      <c r="M19" s="79">
        <v>180</v>
      </c>
      <c r="N19" s="151">
        <v>0</v>
      </c>
      <c r="O19" s="151">
        <v>0</v>
      </c>
    </row>
    <row r="20" spans="1:15" s="54" customFormat="1" ht="15" customHeight="1">
      <c r="A20" s="791"/>
      <c r="B20" s="791"/>
      <c r="C20" s="790"/>
      <c r="D20" s="15">
        <v>1</v>
      </c>
      <c r="E20" s="15"/>
      <c r="F20" s="22">
        <v>1</v>
      </c>
      <c r="G20" s="22">
        <v>1</v>
      </c>
      <c r="H20" s="22"/>
      <c r="I20" s="22" t="s">
        <v>212</v>
      </c>
      <c r="J20" s="22" t="s">
        <v>212</v>
      </c>
      <c r="K20" s="22">
        <v>2001</v>
      </c>
      <c r="L20" s="22" t="s">
        <v>121</v>
      </c>
      <c r="M20" s="79">
        <v>270</v>
      </c>
      <c r="N20" s="151">
        <v>161</v>
      </c>
      <c r="O20" s="151">
        <v>0</v>
      </c>
    </row>
    <row r="21" spans="1:15" s="54" customFormat="1" ht="15" customHeight="1">
      <c r="A21" s="791"/>
      <c r="B21" s="791"/>
      <c r="C21" s="790"/>
      <c r="D21" s="15">
        <v>1</v>
      </c>
      <c r="E21" s="22"/>
      <c r="F21" s="22">
        <v>1</v>
      </c>
      <c r="G21" s="22">
        <v>1</v>
      </c>
      <c r="H21" s="22"/>
      <c r="I21" s="22" t="s">
        <v>212</v>
      </c>
      <c r="J21" s="15" t="s">
        <v>502</v>
      </c>
      <c r="K21" s="22">
        <v>2006</v>
      </c>
      <c r="L21" s="22" t="s">
        <v>121</v>
      </c>
      <c r="M21" s="79">
        <v>485</v>
      </c>
      <c r="N21" s="151">
        <v>0</v>
      </c>
      <c r="O21" s="151">
        <v>0</v>
      </c>
    </row>
    <row r="22" spans="1:15" s="54" customFormat="1" ht="15" customHeight="1">
      <c r="A22" s="791"/>
      <c r="B22" s="791"/>
      <c r="C22" s="790"/>
      <c r="D22" s="15">
        <v>1</v>
      </c>
      <c r="E22" s="22">
        <v>1</v>
      </c>
      <c r="F22" s="22"/>
      <c r="G22" s="22"/>
      <c r="H22" s="22">
        <v>1</v>
      </c>
      <c r="I22" s="22" t="s">
        <v>212</v>
      </c>
      <c r="J22" s="22" t="s">
        <v>343</v>
      </c>
      <c r="K22" s="22">
        <v>2005</v>
      </c>
      <c r="L22" s="22" t="s">
        <v>121</v>
      </c>
      <c r="M22" s="79">
        <v>0</v>
      </c>
      <c r="N22" s="151">
        <v>203</v>
      </c>
      <c r="O22" s="151">
        <v>0</v>
      </c>
    </row>
    <row r="23" spans="1:15" s="54" customFormat="1" ht="15" customHeight="1">
      <c r="A23" s="794"/>
      <c r="B23" s="795"/>
      <c r="C23" s="790"/>
      <c r="D23" s="15">
        <v>1</v>
      </c>
      <c r="E23" s="22">
        <v>1</v>
      </c>
      <c r="F23" s="22"/>
      <c r="G23" s="22"/>
      <c r="H23" s="22">
        <v>1</v>
      </c>
      <c r="I23" s="22" t="s">
        <v>212</v>
      </c>
      <c r="J23" s="22" t="s">
        <v>18</v>
      </c>
      <c r="K23" s="22">
        <v>2006</v>
      </c>
      <c r="L23" s="22" t="s">
        <v>121</v>
      </c>
      <c r="M23" s="79">
        <v>270</v>
      </c>
      <c r="N23" s="151">
        <v>0</v>
      </c>
      <c r="O23" s="151">
        <v>0</v>
      </c>
    </row>
    <row r="24" spans="1:15" s="54" customFormat="1" ht="15" customHeight="1">
      <c r="A24" s="791"/>
      <c r="B24" s="791"/>
      <c r="C24" s="790"/>
      <c r="D24" s="15">
        <v>1</v>
      </c>
      <c r="E24" s="22">
        <v>1</v>
      </c>
      <c r="F24" s="22"/>
      <c r="G24" s="22"/>
      <c r="H24" s="22">
        <v>1</v>
      </c>
      <c r="I24" s="22" t="s">
        <v>212</v>
      </c>
      <c r="J24" s="22" t="s">
        <v>18</v>
      </c>
      <c r="K24" s="22">
        <v>2008</v>
      </c>
      <c r="L24" s="22" t="s">
        <v>121</v>
      </c>
      <c r="M24" s="79">
        <v>270</v>
      </c>
      <c r="N24" s="151">
        <v>0</v>
      </c>
      <c r="O24" s="151">
        <v>0</v>
      </c>
    </row>
    <row r="25" spans="1:15" s="54" customFormat="1" ht="15" customHeight="1">
      <c r="A25" s="791"/>
      <c r="B25" s="791"/>
      <c r="C25" s="790"/>
      <c r="D25" s="15">
        <v>1</v>
      </c>
      <c r="E25" s="22">
        <v>1</v>
      </c>
      <c r="F25" s="22"/>
      <c r="G25" s="22">
        <v>1</v>
      </c>
      <c r="H25" s="22"/>
      <c r="I25" s="22" t="s">
        <v>212</v>
      </c>
      <c r="J25" s="22" t="s">
        <v>394</v>
      </c>
      <c r="K25" s="22">
        <v>2006</v>
      </c>
      <c r="L25" s="22" t="s">
        <v>121</v>
      </c>
      <c r="M25" s="79">
        <v>194</v>
      </c>
      <c r="N25" s="151">
        <v>0</v>
      </c>
      <c r="O25" s="151">
        <v>0</v>
      </c>
    </row>
    <row r="26" spans="1:15" s="80" customFormat="1" ht="15" customHeight="1">
      <c r="A26" s="791"/>
      <c r="B26" s="791"/>
      <c r="C26" s="790"/>
      <c r="D26" s="22">
        <v>1</v>
      </c>
      <c r="E26" s="22">
        <v>1</v>
      </c>
      <c r="F26" s="22"/>
      <c r="G26" s="22">
        <v>1</v>
      </c>
      <c r="H26" s="22"/>
      <c r="I26" s="22" t="s">
        <v>212</v>
      </c>
      <c r="J26" s="15" t="s">
        <v>353</v>
      </c>
      <c r="K26" s="22">
        <v>2003</v>
      </c>
      <c r="L26" s="22" t="s">
        <v>121</v>
      </c>
      <c r="M26" s="79">
        <v>270</v>
      </c>
      <c r="N26" s="151">
        <v>0</v>
      </c>
      <c r="O26" s="151">
        <v>0</v>
      </c>
    </row>
    <row r="27" spans="1:15" s="54" customFormat="1" ht="15" customHeight="1">
      <c r="A27" s="794"/>
      <c r="B27" s="794"/>
      <c r="C27" s="790"/>
      <c r="D27" s="15">
        <v>1</v>
      </c>
      <c r="E27" s="22">
        <v>1</v>
      </c>
      <c r="F27" s="22"/>
      <c r="G27" s="22">
        <v>1</v>
      </c>
      <c r="H27" s="22"/>
      <c r="I27" s="22" t="s">
        <v>212</v>
      </c>
      <c r="J27" s="15" t="s">
        <v>212</v>
      </c>
      <c r="K27" s="22">
        <v>1999</v>
      </c>
      <c r="L27" s="22" t="s">
        <v>121</v>
      </c>
      <c r="M27" s="79">
        <v>450</v>
      </c>
      <c r="N27" s="151">
        <v>0</v>
      </c>
      <c r="O27" s="151">
        <v>0</v>
      </c>
    </row>
    <row r="28" spans="1:15" s="54" customFormat="1" ht="15" customHeight="1">
      <c r="A28" s="791"/>
      <c r="B28" s="791"/>
      <c r="C28" s="790"/>
      <c r="D28" s="15">
        <v>1</v>
      </c>
      <c r="E28" s="15">
        <v>1</v>
      </c>
      <c r="F28" s="15"/>
      <c r="G28" s="15"/>
      <c r="H28" s="15">
        <v>1</v>
      </c>
      <c r="I28" s="15" t="s">
        <v>212</v>
      </c>
      <c r="J28" s="15" t="s">
        <v>21</v>
      </c>
      <c r="K28" s="15">
        <v>2008</v>
      </c>
      <c r="L28" s="22" t="s">
        <v>121</v>
      </c>
      <c r="M28" s="79">
        <v>360</v>
      </c>
      <c r="N28" s="151">
        <v>0</v>
      </c>
      <c r="O28" s="151">
        <v>0</v>
      </c>
    </row>
    <row r="29" spans="1:15" s="54" customFormat="1" ht="15" customHeight="1">
      <c r="A29" s="791"/>
      <c r="B29" s="791"/>
      <c r="C29" s="790"/>
      <c r="D29" s="15">
        <v>1</v>
      </c>
      <c r="E29" s="22">
        <v>1</v>
      </c>
      <c r="F29" s="22"/>
      <c r="G29" s="22">
        <v>1</v>
      </c>
      <c r="H29" s="22"/>
      <c r="I29" s="22" t="s">
        <v>212</v>
      </c>
      <c r="J29" s="15" t="s">
        <v>212</v>
      </c>
      <c r="K29" s="22">
        <v>2004</v>
      </c>
      <c r="L29" s="22" t="s">
        <v>121</v>
      </c>
      <c r="M29" s="79">
        <v>270</v>
      </c>
      <c r="N29" s="151">
        <v>203</v>
      </c>
      <c r="O29" s="151">
        <v>0</v>
      </c>
    </row>
    <row r="30" spans="1:15" s="54" customFormat="1" ht="15" customHeight="1">
      <c r="A30" s="794"/>
      <c r="B30" s="794"/>
      <c r="C30" s="792"/>
      <c r="D30" s="15">
        <v>1</v>
      </c>
      <c r="E30" s="22">
        <v>1</v>
      </c>
      <c r="F30" s="22"/>
      <c r="G30" s="22">
        <v>1</v>
      </c>
      <c r="H30" s="22"/>
      <c r="I30" s="22" t="s">
        <v>212</v>
      </c>
      <c r="J30" s="15" t="s">
        <v>212</v>
      </c>
      <c r="K30" s="22">
        <v>2000</v>
      </c>
      <c r="L30" s="22" t="s">
        <v>121</v>
      </c>
      <c r="M30" s="79">
        <v>360</v>
      </c>
      <c r="N30" s="151">
        <v>0</v>
      </c>
      <c r="O30" s="151">
        <v>0</v>
      </c>
    </row>
    <row r="31" spans="1:15" s="80" customFormat="1" ht="15" customHeight="1">
      <c r="A31" s="791"/>
      <c r="B31" s="791"/>
      <c r="C31" s="790"/>
      <c r="D31" s="15">
        <v>1</v>
      </c>
      <c r="E31" s="22">
        <v>1</v>
      </c>
      <c r="F31" s="22"/>
      <c r="G31" s="22"/>
      <c r="H31" s="22">
        <v>1</v>
      </c>
      <c r="I31" s="22" t="s">
        <v>327</v>
      </c>
      <c r="J31" s="15" t="s">
        <v>327</v>
      </c>
      <c r="K31" s="22">
        <v>2004</v>
      </c>
      <c r="L31" s="22" t="s">
        <v>121</v>
      </c>
      <c r="M31" s="79">
        <v>360</v>
      </c>
      <c r="N31" s="151">
        <v>0</v>
      </c>
      <c r="O31" s="151">
        <v>0</v>
      </c>
    </row>
    <row r="32" spans="1:15" s="54" customFormat="1" ht="15" customHeight="1">
      <c r="A32" s="791"/>
      <c r="B32" s="791"/>
      <c r="C32" s="790"/>
      <c r="D32" s="15">
        <v>1</v>
      </c>
      <c r="E32" s="22">
        <v>1</v>
      </c>
      <c r="F32" s="22"/>
      <c r="G32" s="22"/>
      <c r="H32" s="22">
        <v>1</v>
      </c>
      <c r="I32" s="22" t="s">
        <v>327</v>
      </c>
      <c r="J32" s="15" t="s">
        <v>327</v>
      </c>
      <c r="K32" s="22">
        <v>2002</v>
      </c>
      <c r="L32" s="22" t="s">
        <v>121</v>
      </c>
      <c r="M32" s="79">
        <v>360</v>
      </c>
      <c r="N32" s="151">
        <v>0</v>
      </c>
      <c r="O32" s="151">
        <v>0</v>
      </c>
    </row>
    <row r="33" spans="1:15" s="54" customFormat="1" ht="15" customHeight="1">
      <c r="A33" s="791"/>
      <c r="B33" s="791"/>
      <c r="C33" s="790"/>
      <c r="D33" s="15">
        <v>1</v>
      </c>
      <c r="E33" s="22">
        <v>1</v>
      </c>
      <c r="F33" s="22"/>
      <c r="G33" s="22">
        <v>1</v>
      </c>
      <c r="H33" s="22"/>
      <c r="I33" s="22" t="s">
        <v>212</v>
      </c>
      <c r="J33" s="15" t="s">
        <v>354</v>
      </c>
      <c r="K33" s="22">
        <v>2007</v>
      </c>
      <c r="L33" s="22" t="s">
        <v>121</v>
      </c>
      <c r="M33" s="79">
        <v>194</v>
      </c>
      <c r="N33" s="151">
        <v>0</v>
      </c>
      <c r="O33" s="151">
        <v>0</v>
      </c>
    </row>
    <row r="34" spans="1:15" s="54" customFormat="1" ht="15" customHeight="1">
      <c r="A34" s="791"/>
      <c r="B34" s="791"/>
      <c r="C34" s="790"/>
      <c r="D34" s="15">
        <v>1</v>
      </c>
      <c r="E34" s="15"/>
      <c r="F34" s="22">
        <v>1</v>
      </c>
      <c r="G34" s="15"/>
      <c r="H34" s="22">
        <v>1</v>
      </c>
      <c r="I34" s="22" t="s">
        <v>212</v>
      </c>
      <c r="J34" s="22" t="s">
        <v>18</v>
      </c>
      <c r="K34" s="15">
        <v>2003</v>
      </c>
      <c r="L34" s="22" t="s">
        <v>121</v>
      </c>
      <c r="M34" s="79">
        <f>270+21</f>
        <v>291</v>
      </c>
      <c r="N34" s="151">
        <v>0</v>
      </c>
      <c r="O34" s="151">
        <v>0</v>
      </c>
    </row>
    <row r="35" spans="1:15" s="54" customFormat="1" ht="15" customHeight="1">
      <c r="A35" s="791"/>
      <c r="B35" s="791"/>
      <c r="C35" s="792"/>
      <c r="D35" s="15">
        <v>1</v>
      </c>
      <c r="E35" s="22">
        <v>1</v>
      </c>
      <c r="F35" s="22"/>
      <c r="G35" s="22"/>
      <c r="H35" s="22">
        <v>1</v>
      </c>
      <c r="I35" s="22" t="s">
        <v>212</v>
      </c>
      <c r="J35" s="22" t="s">
        <v>18</v>
      </c>
      <c r="K35" s="22">
        <v>2007</v>
      </c>
      <c r="L35" s="22" t="s">
        <v>121</v>
      </c>
      <c r="M35" s="79">
        <v>90</v>
      </c>
      <c r="N35" s="151">
        <v>0</v>
      </c>
      <c r="O35" s="151">
        <v>0</v>
      </c>
    </row>
    <row r="36" spans="1:15" s="54" customFormat="1" ht="15" customHeight="1">
      <c r="A36" s="791"/>
      <c r="B36" s="791"/>
      <c r="C36" s="790"/>
      <c r="D36" s="15">
        <v>1</v>
      </c>
      <c r="E36" s="22">
        <v>1</v>
      </c>
      <c r="F36" s="22"/>
      <c r="G36" s="22"/>
      <c r="H36" s="22">
        <v>1</v>
      </c>
      <c r="I36" s="22" t="s">
        <v>212</v>
      </c>
      <c r="J36" s="15" t="s">
        <v>327</v>
      </c>
      <c r="K36" s="22">
        <v>2004</v>
      </c>
      <c r="L36" s="22" t="s">
        <v>121</v>
      </c>
      <c r="M36" s="79">
        <f>360+14</f>
        <v>374</v>
      </c>
      <c r="N36" s="151">
        <v>0</v>
      </c>
      <c r="O36" s="151">
        <v>0</v>
      </c>
    </row>
    <row r="37" spans="1:15" s="54" customFormat="1" ht="15" customHeight="1">
      <c r="A37" s="791"/>
      <c r="B37" s="791"/>
      <c r="C37" s="790"/>
      <c r="D37" s="15">
        <v>1</v>
      </c>
      <c r="E37" s="22">
        <v>1</v>
      </c>
      <c r="F37" s="22"/>
      <c r="G37" s="22"/>
      <c r="H37" s="22">
        <v>1</v>
      </c>
      <c r="I37" s="22" t="s">
        <v>212</v>
      </c>
      <c r="J37" s="15" t="s">
        <v>327</v>
      </c>
      <c r="K37" s="22">
        <v>2001</v>
      </c>
      <c r="L37" s="22" t="s">
        <v>121</v>
      </c>
      <c r="M37" s="79">
        <v>374</v>
      </c>
      <c r="N37" s="151">
        <v>0</v>
      </c>
      <c r="O37" s="151">
        <v>0</v>
      </c>
    </row>
    <row r="38" spans="1:15" s="54" customFormat="1" ht="15" customHeight="1">
      <c r="A38" s="791"/>
      <c r="B38" s="791"/>
      <c r="C38" s="790"/>
      <c r="D38" s="15">
        <v>1</v>
      </c>
      <c r="E38" s="22"/>
      <c r="F38" s="22">
        <v>1</v>
      </c>
      <c r="G38" s="22"/>
      <c r="H38" s="22">
        <v>1</v>
      </c>
      <c r="I38" s="22" t="s">
        <v>212</v>
      </c>
      <c r="J38" s="15" t="s">
        <v>327</v>
      </c>
      <c r="K38" s="22">
        <v>2004</v>
      </c>
      <c r="L38" s="22" t="s">
        <v>121</v>
      </c>
      <c r="M38" s="79">
        <v>180</v>
      </c>
      <c r="N38" s="151">
        <v>0</v>
      </c>
      <c r="O38" s="151">
        <v>0</v>
      </c>
    </row>
    <row r="39" spans="1:15" s="54" customFormat="1" ht="15" customHeight="1">
      <c r="A39" s="791"/>
      <c r="B39" s="791"/>
      <c r="C39" s="790"/>
      <c r="D39" s="15">
        <v>1</v>
      </c>
      <c r="E39" s="22">
        <v>1</v>
      </c>
      <c r="F39" s="22"/>
      <c r="G39" s="22"/>
      <c r="H39" s="22">
        <v>1</v>
      </c>
      <c r="I39" s="22" t="s">
        <v>17</v>
      </c>
      <c r="J39" s="15" t="s">
        <v>17</v>
      </c>
      <c r="K39" s="22">
        <v>1999</v>
      </c>
      <c r="L39" s="22" t="s">
        <v>121</v>
      </c>
      <c r="M39" s="79">
        <v>270</v>
      </c>
      <c r="N39" s="151">
        <v>0</v>
      </c>
      <c r="O39" s="151">
        <v>0</v>
      </c>
    </row>
    <row r="40" spans="1:15" s="54" customFormat="1" ht="15" customHeight="1">
      <c r="A40" s="791"/>
      <c r="B40" s="791"/>
      <c r="C40" s="790"/>
      <c r="D40" s="15">
        <v>1</v>
      </c>
      <c r="E40" s="22"/>
      <c r="F40" s="22">
        <v>1</v>
      </c>
      <c r="G40" s="22"/>
      <c r="H40" s="22">
        <v>1</v>
      </c>
      <c r="I40" s="22" t="s">
        <v>212</v>
      </c>
      <c r="J40" s="15" t="s">
        <v>17</v>
      </c>
      <c r="K40" s="22">
        <v>2007</v>
      </c>
      <c r="L40" s="22" t="s">
        <v>121</v>
      </c>
      <c r="M40" s="79">
        <v>270</v>
      </c>
      <c r="N40" s="151">
        <v>0</v>
      </c>
      <c r="O40" s="151">
        <v>0</v>
      </c>
    </row>
    <row r="41" spans="1:15" s="54" customFormat="1" ht="15" customHeight="1">
      <c r="A41" s="791"/>
      <c r="B41" s="791"/>
      <c r="C41" s="790"/>
      <c r="D41" s="15">
        <v>1</v>
      </c>
      <c r="E41" s="15"/>
      <c r="F41" s="15">
        <v>1</v>
      </c>
      <c r="G41" s="15">
        <v>1</v>
      </c>
      <c r="H41" s="15"/>
      <c r="I41" s="15" t="s">
        <v>212</v>
      </c>
      <c r="J41" s="22" t="s">
        <v>212</v>
      </c>
      <c r="K41" s="78">
        <v>2007</v>
      </c>
      <c r="L41" s="22" t="s">
        <v>121</v>
      </c>
      <c r="M41" s="79">
        <v>367</v>
      </c>
      <c r="N41" s="151">
        <v>0</v>
      </c>
      <c r="O41" s="151">
        <v>0</v>
      </c>
    </row>
    <row r="42" spans="1:15" s="54" customFormat="1" ht="15" customHeight="1">
      <c r="A42" s="791"/>
      <c r="B42" s="791"/>
      <c r="C42" s="790"/>
      <c r="D42" s="15">
        <v>1</v>
      </c>
      <c r="E42" s="22">
        <v>1</v>
      </c>
      <c r="F42" s="22"/>
      <c r="G42" s="22">
        <v>1</v>
      </c>
      <c r="H42" s="22"/>
      <c r="I42" s="15" t="s">
        <v>212</v>
      </c>
      <c r="J42" s="15" t="s">
        <v>212</v>
      </c>
      <c r="K42" s="22">
        <v>2002</v>
      </c>
      <c r="L42" s="22" t="s">
        <v>121</v>
      </c>
      <c r="M42" s="79">
        <v>367</v>
      </c>
      <c r="N42" s="151">
        <v>0</v>
      </c>
      <c r="O42" s="151">
        <v>0</v>
      </c>
    </row>
    <row r="43" spans="1:15" s="54" customFormat="1" ht="15" customHeight="1">
      <c r="A43" s="791"/>
      <c r="B43" s="791"/>
      <c r="C43" s="790"/>
      <c r="D43" s="15">
        <v>1</v>
      </c>
      <c r="E43" s="22">
        <v>1</v>
      </c>
      <c r="F43" s="22"/>
      <c r="G43" s="22">
        <v>1</v>
      </c>
      <c r="H43" s="22"/>
      <c r="I43" s="15" t="s">
        <v>212</v>
      </c>
      <c r="J43" s="15" t="s">
        <v>212</v>
      </c>
      <c r="K43" s="22">
        <v>2008</v>
      </c>
      <c r="L43" s="22" t="s">
        <v>121</v>
      </c>
      <c r="M43" s="79">
        <v>540</v>
      </c>
      <c r="N43" s="151">
        <v>161</v>
      </c>
      <c r="O43" s="151">
        <v>0</v>
      </c>
    </row>
    <row r="44" spans="1:15" s="54" customFormat="1" ht="15" customHeight="1">
      <c r="A44" s="791"/>
      <c r="B44" s="791"/>
      <c r="C44" s="790"/>
      <c r="D44" s="15">
        <v>1</v>
      </c>
      <c r="E44" s="22">
        <v>1</v>
      </c>
      <c r="F44" s="22"/>
      <c r="G44" s="22"/>
      <c r="H44" s="22">
        <v>1</v>
      </c>
      <c r="I44" s="22" t="s">
        <v>212</v>
      </c>
      <c r="J44" s="22" t="s">
        <v>18</v>
      </c>
      <c r="K44" s="22">
        <v>1999</v>
      </c>
      <c r="L44" s="22" t="s">
        <v>121</v>
      </c>
      <c r="M44" s="79">
        <v>270</v>
      </c>
      <c r="N44" s="151">
        <v>0</v>
      </c>
      <c r="O44" s="151">
        <v>0</v>
      </c>
    </row>
    <row r="45" spans="1:15" s="54" customFormat="1" ht="15" customHeight="1">
      <c r="A45" s="791"/>
      <c r="B45" s="791"/>
      <c r="C45" s="790"/>
      <c r="D45" s="15">
        <v>1</v>
      </c>
      <c r="E45" s="22">
        <v>1</v>
      </c>
      <c r="F45" s="22"/>
      <c r="G45" s="22"/>
      <c r="H45" s="22">
        <v>1</v>
      </c>
      <c r="I45" s="22" t="s">
        <v>212</v>
      </c>
      <c r="J45" s="15" t="s">
        <v>343</v>
      </c>
      <c r="K45" s="22">
        <v>2005</v>
      </c>
      <c r="L45" s="22" t="s">
        <v>121</v>
      </c>
      <c r="M45" s="79">
        <v>450</v>
      </c>
      <c r="N45" s="151">
        <v>0</v>
      </c>
      <c r="O45" s="151">
        <v>0</v>
      </c>
    </row>
    <row r="46" spans="1:15" s="54" customFormat="1" ht="15" customHeight="1">
      <c r="A46" s="794"/>
      <c r="B46" s="794"/>
      <c r="C46" s="790"/>
      <c r="D46" s="15">
        <v>1</v>
      </c>
      <c r="E46" s="22">
        <v>1</v>
      </c>
      <c r="F46" s="22"/>
      <c r="G46" s="22"/>
      <c r="H46" s="22">
        <v>1</v>
      </c>
      <c r="I46" s="22" t="s">
        <v>212</v>
      </c>
      <c r="J46" s="15" t="s">
        <v>450</v>
      </c>
      <c r="K46" s="22">
        <v>2001</v>
      </c>
      <c r="L46" s="22" t="s">
        <v>121</v>
      </c>
      <c r="M46" s="79">
        <f>360+28</f>
        <v>388</v>
      </c>
      <c r="N46" s="151">
        <v>0</v>
      </c>
      <c r="O46" s="151">
        <v>0</v>
      </c>
    </row>
    <row r="47" spans="1:17" s="54" customFormat="1" ht="15" customHeight="1">
      <c r="A47" s="1052" t="s">
        <v>8</v>
      </c>
      <c r="B47" s="1052"/>
      <c r="C47" s="107"/>
      <c r="D47" s="107">
        <f>SUM(D8:D46)</f>
        <v>39</v>
      </c>
      <c r="E47" s="107">
        <f>SUM(E8:E46)</f>
        <v>28</v>
      </c>
      <c r="F47" s="107">
        <f>SUM(F8:F46)</f>
        <v>11</v>
      </c>
      <c r="G47" s="107">
        <f>SUM(G8:G46)</f>
        <v>19</v>
      </c>
      <c r="H47" s="107">
        <f>SUM(H8:H46)</f>
        <v>20</v>
      </c>
      <c r="I47" s="107"/>
      <c r="J47" s="107"/>
      <c r="K47" s="107"/>
      <c r="L47" s="107"/>
      <c r="M47" s="390">
        <f>SUM(M8:M46)</f>
        <v>11452</v>
      </c>
      <c r="N47" s="149">
        <f>SUM(N8:N45)</f>
        <v>1193</v>
      </c>
      <c r="O47" s="390">
        <f>SUM(O8:O46)</f>
        <v>0</v>
      </c>
      <c r="P47" s="82"/>
      <c r="Q47" s="82"/>
    </row>
    <row r="48" spans="1:17" s="54" customFormat="1" ht="15" customHeight="1">
      <c r="A48" s="1051" t="s">
        <v>67</v>
      </c>
      <c r="B48" s="1051"/>
      <c r="C48" s="138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388"/>
      <c r="O48" s="117"/>
      <c r="P48" s="82"/>
      <c r="Q48" s="82"/>
    </row>
    <row r="49" spans="1:17" s="54" customFormat="1" ht="48" customHeight="1">
      <c r="A49" s="39" t="s">
        <v>332</v>
      </c>
      <c r="B49" s="39" t="s">
        <v>333</v>
      </c>
      <c r="C49" s="115" t="s">
        <v>213</v>
      </c>
      <c r="D49" s="39" t="s">
        <v>61</v>
      </c>
      <c r="E49" s="115" t="s">
        <v>73</v>
      </c>
      <c r="F49" s="115" t="s">
        <v>74</v>
      </c>
      <c r="G49" s="39" t="s">
        <v>37</v>
      </c>
      <c r="H49" s="39" t="s">
        <v>38</v>
      </c>
      <c r="I49" s="115" t="s">
        <v>15</v>
      </c>
      <c r="J49" s="115" t="s">
        <v>214</v>
      </c>
      <c r="K49" s="115" t="s">
        <v>39</v>
      </c>
      <c r="L49" s="39" t="s">
        <v>60</v>
      </c>
      <c r="M49" s="115" t="s">
        <v>23</v>
      </c>
      <c r="N49" s="115" t="s">
        <v>25</v>
      </c>
      <c r="O49" s="116" t="s">
        <v>24</v>
      </c>
      <c r="P49" s="82"/>
      <c r="Q49" s="82"/>
    </row>
    <row r="50" spans="1:17" s="54" customFormat="1" ht="15" customHeight="1">
      <c r="A50" s="1052" t="s">
        <v>95</v>
      </c>
      <c r="B50" s="1052"/>
      <c r="C50" s="614"/>
      <c r="D50" s="107">
        <v>0</v>
      </c>
      <c r="E50" s="614">
        <v>0</v>
      </c>
      <c r="F50" s="614">
        <v>0</v>
      </c>
      <c r="G50" s="107">
        <v>0</v>
      </c>
      <c r="H50" s="107">
        <v>0</v>
      </c>
      <c r="I50" s="614"/>
      <c r="J50" s="614"/>
      <c r="K50" s="614"/>
      <c r="L50" s="107"/>
      <c r="M50" s="614"/>
      <c r="N50" s="614"/>
      <c r="O50" s="619"/>
      <c r="P50" s="82"/>
      <c r="Q50" s="82"/>
    </row>
    <row r="51" spans="1:15" s="54" customFormat="1" ht="15" customHeight="1">
      <c r="A51" s="1051" t="s">
        <v>68</v>
      </c>
      <c r="B51" s="1051"/>
      <c r="C51" s="138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388"/>
      <c r="O51" s="117"/>
    </row>
    <row r="52" spans="1:15" s="54" customFormat="1" ht="48" customHeight="1">
      <c r="A52" s="39" t="s">
        <v>332</v>
      </c>
      <c r="B52" s="39" t="s">
        <v>333</v>
      </c>
      <c r="C52" s="115" t="s">
        <v>213</v>
      </c>
      <c r="D52" s="39" t="s">
        <v>61</v>
      </c>
      <c r="E52" s="115" t="s">
        <v>73</v>
      </c>
      <c r="F52" s="115" t="s">
        <v>74</v>
      </c>
      <c r="G52" s="39" t="s">
        <v>37</v>
      </c>
      <c r="H52" s="39" t="s">
        <v>38</v>
      </c>
      <c r="I52" s="115" t="s">
        <v>15</v>
      </c>
      <c r="J52" s="115" t="s">
        <v>214</v>
      </c>
      <c r="K52" s="115" t="s">
        <v>39</v>
      </c>
      <c r="L52" s="39" t="s">
        <v>60</v>
      </c>
      <c r="M52" s="115" t="s">
        <v>23</v>
      </c>
      <c r="N52" s="115" t="s">
        <v>25</v>
      </c>
      <c r="O52" s="116" t="s">
        <v>24</v>
      </c>
    </row>
    <row r="53" spans="1:15" s="54" customFormat="1" ht="15" customHeight="1">
      <c r="A53" s="791"/>
      <c r="B53" s="791"/>
      <c r="C53" s="791"/>
      <c r="D53" s="15">
        <v>1</v>
      </c>
      <c r="E53" s="15">
        <v>1</v>
      </c>
      <c r="F53" s="15"/>
      <c r="G53" s="15">
        <v>1</v>
      </c>
      <c r="H53" s="15"/>
      <c r="I53" s="409" t="s">
        <v>212</v>
      </c>
      <c r="J53" s="418" t="s">
        <v>212</v>
      </c>
      <c r="K53" s="409">
        <v>2005</v>
      </c>
      <c r="L53" s="22" t="s">
        <v>121</v>
      </c>
      <c r="M53" s="79">
        <v>380</v>
      </c>
      <c r="N53" s="151">
        <v>0</v>
      </c>
      <c r="O53" s="151">
        <v>0</v>
      </c>
    </row>
    <row r="54" spans="1:15" s="54" customFormat="1" ht="15" customHeight="1">
      <c r="A54" s="1052" t="s">
        <v>478</v>
      </c>
      <c r="B54" s="1052"/>
      <c r="C54" s="107"/>
      <c r="D54" s="107">
        <f>SUM(D53)</f>
        <v>1</v>
      </c>
      <c r="E54" s="107">
        <f>SUM(E53)</f>
        <v>1</v>
      </c>
      <c r="F54" s="107">
        <v>0</v>
      </c>
      <c r="G54" s="107">
        <f>SUM(G53)</f>
        <v>1</v>
      </c>
      <c r="H54" s="107">
        <v>0</v>
      </c>
      <c r="I54" s="107"/>
      <c r="J54" s="107"/>
      <c r="K54" s="107"/>
      <c r="L54" s="107"/>
      <c r="M54" s="390">
        <f>SUM(M53)</f>
        <v>380</v>
      </c>
      <c r="N54" s="390">
        <v>0</v>
      </c>
      <c r="O54" s="390">
        <f>SUM(O12:O53)</f>
        <v>0</v>
      </c>
    </row>
    <row r="55" spans="1:15" s="54" customFormat="1" ht="15" customHeight="1">
      <c r="A55" s="1051" t="s">
        <v>65</v>
      </c>
      <c r="B55" s="1051"/>
      <c r="C55" s="138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388"/>
      <c r="O55" s="117"/>
    </row>
    <row r="56" spans="1:15" s="54" customFormat="1" ht="48" customHeight="1">
      <c r="A56" s="39" t="s">
        <v>332</v>
      </c>
      <c r="B56" s="39" t="s">
        <v>333</v>
      </c>
      <c r="C56" s="115" t="s">
        <v>213</v>
      </c>
      <c r="D56" s="39" t="s">
        <v>61</v>
      </c>
      <c r="E56" s="115" t="s">
        <v>73</v>
      </c>
      <c r="F56" s="115" t="s">
        <v>74</v>
      </c>
      <c r="G56" s="39" t="s">
        <v>37</v>
      </c>
      <c r="H56" s="39" t="s">
        <v>38</v>
      </c>
      <c r="I56" s="115" t="s">
        <v>15</v>
      </c>
      <c r="J56" s="115" t="s">
        <v>214</v>
      </c>
      <c r="K56" s="115" t="s">
        <v>39</v>
      </c>
      <c r="L56" s="39" t="s">
        <v>60</v>
      </c>
      <c r="M56" s="115" t="s">
        <v>23</v>
      </c>
      <c r="N56" s="115" t="s">
        <v>25</v>
      </c>
      <c r="O56" s="116" t="s">
        <v>24</v>
      </c>
    </row>
    <row r="57" spans="1:15" s="54" customFormat="1" ht="15" customHeight="1">
      <c r="A57" s="1052" t="s">
        <v>340</v>
      </c>
      <c r="B57" s="1052"/>
      <c r="C57" s="614"/>
      <c r="D57" s="107">
        <v>0</v>
      </c>
      <c r="E57" s="614">
        <v>0</v>
      </c>
      <c r="F57" s="614">
        <v>0</v>
      </c>
      <c r="G57" s="107">
        <v>0</v>
      </c>
      <c r="H57" s="107">
        <v>0</v>
      </c>
      <c r="I57" s="614"/>
      <c r="J57" s="614"/>
      <c r="K57" s="614"/>
      <c r="L57" s="107"/>
      <c r="M57" s="614"/>
      <c r="N57" s="614"/>
      <c r="O57" s="619"/>
    </row>
    <row r="58" spans="1:15" s="54" customFormat="1" ht="15" customHeight="1">
      <c r="A58" s="1051" t="s">
        <v>69</v>
      </c>
      <c r="B58" s="1051"/>
      <c r="C58" s="138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388"/>
      <c r="O58" s="117"/>
    </row>
    <row r="59" spans="1:15" s="54" customFormat="1" ht="48" customHeight="1">
      <c r="A59" s="39" t="s">
        <v>332</v>
      </c>
      <c r="B59" s="39" t="s">
        <v>333</v>
      </c>
      <c r="C59" s="115" t="s">
        <v>213</v>
      </c>
      <c r="D59" s="39" t="s">
        <v>61</v>
      </c>
      <c r="E59" s="115" t="s">
        <v>73</v>
      </c>
      <c r="F59" s="115" t="s">
        <v>74</v>
      </c>
      <c r="G59" s="39" t="s">
        <v>37</v>
      </c>
      <c r="H59" s="39" t="s">
        <v>38</v>
      </c>
      <c r="I59" s="115" t="s">
        <v>15</v>
      </c>
      <c r="J59" s="115" t="s">
        <v>214</v>
      </c>
      <c r="K59" s="115" t="s">
        <v>39</v>
      </c>
      <c r="L59" s="39" t="s">
        <v>60</v>
      </c>
      <c r="M59" s="115" t="s">
        <v>23</v>
      </c>
      <c r="N59" s="115" t="s">
        <v>25</v>
      </c>
      <c r="O59" s="116" t="s">
        <v>24</v>
      </c>
    </row>
    <row r="60" spans="1:15" s="54" customFormat="1" ht="15" customHeight="1">
      <c r="A60" s="1052" t="s">
        <v>13</v>
      </c>
      <c r="B60" s="1052"/>
      <c r="C60" s="614"/>
      <c r="D60" s="107">
        <v>0</v>
      </c>
      <c r="E60" s="614">
        <v>0</v>
      </c>
      <c r="F60" s="614">
        <v>0</v>
      </c>
      <c r="G60" s="107">
        <v>0</v>
      </c>
      <c r="H60" s="107">
        <v>0</v>
      </c>
      <c r="I60" s="614"/>
      <c r="J60" s="614"/>
      <c r="K60" s="614"/>
      <c r="L60" s="107"/>
      <c r="M60" s="614"/>
      <c r="N60" s="614"/>
      <c r="O60" s="619"/>
    </row>
    <row r="61" spans="1:15" s="54" customFormat="1" ht="15" customHeight="1">
      <c r="A61" s="1051" t="s">
        <v>70</v>
      </c>
      <c r="B61" s="1051"/>
      <c r="C61" s="138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388"/>
      <c r="O61" s="117"/>
    </row>
    <row r="62" spans="1:15" s="54" customFormat="1" ht="48" customHeight="1">
      <c r="A62" s="39" t="s">
        <v>332</v>
      </c>
      <c r="B62" s="39" t="s">
        <v>333</v>
      </c>
      <c r="C62" s="115" t="s">
        <v>213</v>
      </c>
      <c r="D62" s="39" t="s">
        <v>61</v>
      </c>
      <c r="E62" s="115" t="s">
        <v>73</v>
      </c>
      <c r="F62" s="115" t="s">
        <v>74</v>
      </c>
      <c r="G62" s="39" t="s">
        <v>37</v>
      </c>
      <c r="H62" s="39" t="s">
        <v>38</v>
      </c>
      <c r="I62" s="115" t="s">
        <v>15</v>
      </c>
      <c r="J62" s="115" t="s">
        <v>214</v>
      </c>
      <c r="K62" s="115" t="s">
        <v>39</v>
      </c>
      <c r="L62" s="39" t="s">
        <v>60</v>
      </c>
      <c r="M62" s="115" t="s">
        <v>23</v>
      </c>
      <c r="N62" s="115" t="s">
        <v>25</v>
      </c>
      <c r="O62" s="116" t="s">
        <v>24</v>
      </c>
    </row>
    <row r="63" spans="1:15" s="54" customFormat="1" ht="15" customHeight="1">
      <c r="A63" s="1052" t="s">
        <v>341</v>
      </c>
      <c r="B63" s="1052"/>
      <c r="C63" s="614"/>
      <c r="D63" s="107">
        <v>0</v>
      </c>
      <c r="E63" s="614">
        <v>0</v>
      </c>
      <c r="F63" s="614">
        <v>0</v>
      </c>
      <c r="G63" s="107">
        <v>0</v>
      </c>
      <c r="H63" s="107">
        <v>0</v>
      </c>
      <c r="I63" s="614"/>
      <c r="J63" s="614"/>
      <c r="K63" s="614"/>
      <c r="L63" s="107"/>
      <c r="M63" s="614"/>
      <c r="N63" s="614"/>
      <c r="O63" s="619"/>
    </row>
    <row r="64" spans="1:15" s="54" customFormat="1" ht="15" customHeight="1">
      <c r="A64" s="1051" t="s">
        <v>71</v>
      </c>
      <c r="B64" s="1051"/>
      <c r="C64" s="138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388"/>
      <c r="O64" s="117"/>
    </row>
    <row r="65" spans="1:15" s="54" customFormat="1" ht="48" customHeight="1">
      <c r="A65" s="39" t="s">
        <v>332</v>
      </c>
      <c r="B65" s="39" t="s">
        <v>333</v>
      </c>
      <c r="C65" s="115" t="s">
        <v>213</v>
      </c>
      <c r="D65" s="39" t="s">
        <v>61</v>
      </c>
      <c r="E65" s="115" t="s">
        <v>73</v>
      </c>
      <c r="F65" s="115" t="s">
        <v>74</v>
      </c>
      <c r="G65" s="39" t="s">
        <v>37</v>
      </c>
      <c r="H65" s="39" t="s">
        <v>38</v>
      </c>
      <c r="I65" s="115" t="s">
        <v>15</v>
      </c>
      <c r="J65" s="115" t="s">
        <v>214</v>
      </c>
      <c r="K65" s="115" t="s">
        <v>39</v>
      </c>
      <c r="L65" s="39" t="s">
        <v>60</v>
      </c>
      <c r="M65" s="115" t="s">
        <v>23</v>
      </c>
      <c r="N65" s="115" t="s">
        <v>25</v>
      </c>
      <c r="O65" s="116" t="s">
        <v>24</v>
      </c>
    </row>
    <row r="66" spans="1:15" ht="15" customHeight="1">
      <c r="A66" s="799"/>
      <c r="B66" s="799"/>
      <c r="C66" s="792"/>
      <c r="D66" s="40">
        <v>1</v>
      </c>
      <c r="E66" s="40"/>
      <c r="F66" s="40">
        <v>1</v>
      </c>
      <c r="G66" s="40">
        <v>1</v>
      </c>
      <c r="H66" s="40"/>
      <c r="I66" s="409" t="s">
        <v>212</v>
      </c>
      <c r="J66" s="418" t="s">
        <v>212</v>
      </c>
      <c r="K66" s="15">
        <v>2000</v>
      </c>
      <c r="L66" s="41" t="s">
        <v>122</v>
      </c>
      <c r="M66" s="227">
        <v>1045</v>
      </c>
      <c r="N66" s="165">
        <v>0</v>
      </c>
      <c r="O66" s="165">
        <v>180</v>
      </c>
    </row>
    <row r="67" spans="1:15" ht="15" customHeight="1">
      <c r="A67" s="1053" t="s">
        <v>22</v>
      </c>
      <c r="B67" s="1053"/>
      <c r="C67" s="113"/>
      <c r="D67" s="113">
        <v>1</v>
      </c>
      <c r="E67" s="113">
        <v>0</v>
      </c>
      <c r="F67" s="113">
        <f>SUM(F66)</f>
        <v>1</v>
      </c>
      <c r="G67" s="113">
        <f>SUM(G66)</f>
        <v>1</v>
      </c>
      <c r="H67" s="113">
        <v>0</v>
      </c>
      <c r="I67" s="113"/>
      <c r="J67" s="113"/>
      <c r="K67" s="113"/>
      <c r="L67" s="113"/>
      <c r="M67" s="228">
        <f>SUM(M66)</f>
        <v>1045</v>
      </c>
      <c r="N67" s="163">
        <f>SUM(N66)</f>
        <v>0</v>
      </c>
      <c r="O67" s="163">
        <f>SUM(O66)</f>
        <v>180</v>
      </c>
    </row>
    <row r="68" spans="1:15" s="54" customFormat="1" ht="15" customHeight="1">
      <c r="A68" s="1051" t="s">
        <v>72</v>
      </c>
      <c r="B68" s="1051"/>
      <c r="C68" s="138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388"/>
      <c r="O68" s="117"/>
    </row>
    <row r="69" spans="1:15" s="54" customFormat="1" ht="48" customHeight="1">
      <c r="A69" s="39" t="s">
        <v>332</v>
      </c>
      <c r="B69" s="39" t="s">
        <v>333</v>
      </c>
      <c r="C69" s="115" t="s">
        <v>213</v>
      </c>
      <c r="D69" s="39" t="s">
        <v>61</v>
      </c>
      <c r="E69" s="796" t="s">
        <v>73</v>
      </c>
      <c r="F69" s="115" t="s">
        <v>74</v>
      </c>
      <c r="G69" s="39" t="s">
        <v>37</v>
      </c>
      <c r="H69" s="39" t="s">
        <v>38</v>
      </c>
      <c r="I69" s="115" t="s">
        <v>15</v>
      </c>
      <c r="J69" s="115" t="s">
        <v>214</v>
      </c>
      <c r="K69" s="115" t="s">
        <v>39</v>
      </c>
      <c r="L69" s="39" t="s">
        <v>60</v>
      </c>
      <c r="M69" s="115" t="s">
        <v>23</v>
      </c>
      <c r="N69" s="115" t="s">
        <v>25</v>
      </c>
      <c r="O69" s="116" t="s">
        <v>24</v>
      </c>
    </row>
    <row r="70" spans="1:15" s="54" customFormat="1" ht="15" customHeight="1">
      <c r="A70" s="797"/>
      <c r="B70" s="797"/>
      <c r="C70" s="798"/>
      <c r="D70" s="22">
        <v>1</v>
      </c>
      <c r="E70" s="14"/>
      <c r="F70" s="22">
        <v>1</v>
      </c>
      <c r="G70" s="22"/>
      <c r="H70" s="40">
        <v>1</v>
      </c>
      <c r="I70" s="22" t="s">
        <v>212</v>
      </c>
      <c r="J70" s="409" t="s">
        <v>326</v>
      </c>
      <c r="K70" s="409">
        <v>2005</v>
      </c>
      <c r="L70" s="41" t="s">
        <v>382</v>
      </c>
      <c r="M70" s="151">
        <f>1*62</f>
        <v>62</v>
      </c>
      <c r="N70" s="151">
        <v>0</v>
      </c>
      <c r="O70" s="151">
        <v>0</v>
      </c>
    </row>
    <row r="71" spans="1:15" s="54" customFormat="1" ht="15" customHeight="1">
      <c r="A71" s="797"/>
      <c r="B71" s="797"/>
      <c r="C71" s="798"/>
      <c r="D71" s="22">
        <v>1</v>
      </c>
      <c r="E71" s="40">
        <v>1</v>
      </c>
      <c r="F71" s="22"/>
      <c r="G71" s="22"/>
      <c r="H71" s="40">
        <v>1</v>
      </c>
      <c r="I71" s="22" t="s">
        <v>212</v>
      </c>
      <c r="J71" s="409" t="s">
        <v>18</v>
      </c>
      <c r="K71" s="618">
        <v>2004</v>
      </c>
      <c r="L71" s="41" t="s">
        <v>382</v>
      </c>
      <c r="M71" s="227">
        <f>3*62</f>
        <v>186</v>
      </c>
      <c r="N71" s="151">
        <v>0</v>
      </c>
      <c r="O71" s="151">
        <v>0</v>
      </c>
    </row>
    <row r="72" spans="1:15" ht="15" customHeight="1">
      <c r="A72" s="797"/>
      <c r="B72" s="797"/>
      <c r="C72" s="798"/>
      <c r="D72" s="22">
        <v>1</v>
      </c>
      <c r="E72" s="40">
        <v>1</v>
      </c>
      <c r="F72" s="22"/>
      <c r="G72" s="22"/>
      <c r="H72" s="40">
        <v>1</v>
      </c>
      <c r="I72" s="22" t="s">
        <v>212</v>
      </c>
      <c r="J72" s="409" t="s">
        <v>18</v>
      </c>
      <c r="K72" s="409">
        <v>2005</v>
      </c>
      <c r="L72" s="41" t="s">
        <v>382</v>
      </c>
      <c r="M72" s="227">
        <f>2*62</f>
        <v>124</v>
      </c>
      <c r="N72" s="151">
        <v>0</v>
      </c>
      <c r="O72" s="165">
        <f>45+135+21</f>
        <v>201</v>
      </c>
    </row>
    <row r="73" spans="1:15" ht="15" customHeight="1">
      <c r="A73" s="797"/>
      <c r="B73" s="797"/>
      <c r="C73" s="798"/>
      <c r="D73" s="22">
        <v>1</v>
      </c>
      <c r="E73" s="40"/>
      <c r="F73" s="22">
        <v>1</v>
      </c>
      <c r="G73" s="22"/>
      <c r="H73" s="40">
        <v>1</v>
      </c>
      <c r="I73" s="22" t="s">
        <v>212</v>
      </c>
      <c r="J73" s="409" t="s">
        <v>18</v>
      </c>
      <c r="K73" s="409">
        <v>2002</v>
      </c>
      <c r="L73" s="41" t="s">
        <v>382</v>
      </c>
      <c r="M73" s="227">
        <f>2*62</f>
        <v>124</v>
      </c>
      <c r="N73" s="151">
        <v>0</v>
      </c>
      <c r="O73" s="165">
        <v>0</v>
      </c>
    </row>
    <row r="74" spans="1:15" ht="15" customHeight="1">
      <c r="A74" s="797"/>
      <c r="B74" s="797"/>
      <c r="C74" s="798"/>
      <c r="D74" s="22">
        <v>1</v>
      </c>
      <c r="E74" s="40">
        <v>1</v>
      </c>
      <c r="F74" s="22"/>
      <c r="G74" s="22"/>
      <c r="H74" s="40">
        <v>1</v>
      </c>
      <c r="I74" s="618" t="s">
        <v>500</v>
      </c>
      <c r="J74" s="618" t="s">
        <v>500</v>
      </c>
      <c r="K74" s="618">
        <v>1998</v>
      </c>
      <c r="L74" s="41" t="s">
        <v>123</v>
      </c>
      <c r="M74" s="227">
        <v>0</v>
      </c>
      <c r="N74" s="151">
        <v>0</v>
      </c>
      <c r="O74" s="165">
        <f>45+135+21</f>
        <v>201</v>
      </c>
    </row>
    <row r="75" spans="1:15" ht="15" customHeight="1">
      <c r="A75" s="797"/>
      <c r="B75" s="797"/>
      <c r="C75" s="798"/>
      <c r="D75" s="22">
        <v>1</v>
      </c>
      <c r="E75" s="22"/>
      <c r="F75" s="22">
        <v>1</v>
      </c>
      <c r="G75" s="22">
        <v>1</v>
      </c>
      <c r="H75" s="22"/>
      <c r="I75" s="22" t="s">
        <v>212</v>
      </c>
      <c r="J75" s="222" t="s">
        <v>222</v>
      </c>
      <c r="K75" s="22">
        <v>2006</v>
      </c>
      <c r="L75" s="41" t="s">
        <v>382</v>
      </c>
      <c r="M75" s="227">
        <f>3*48</f>
        <v>144</v>
      </c>
      <c r="N75" s="151">
        <v>0</v>
      </c>
      <c r="O75" s="165">
        <v>0</v>
      </c>
    </row>
    <row r="76" spans="1:15" ht="15" customHeight="1">
      <c r="A76" s="797"/>
      <c r="B76" s="797"/>
      <c r="C76" s="798"/>
      <c r="D76" s="22">
        <v>1</v>
      </c>
      <c r="E76" s="22"/>
      <c r="F76" s="22">
        <v>1</v>
      </c>
      <c r="G76" s="22">
        <v>1</v>
      </c>
      <c r="H76" s="22"/>
      <c r="I76" s="22" t="s">
        <v>212</v>
      </c>
      <c r="J76" s="22" t="s">
        <v>212</v>
      </c>
      <c r="K76" s="22">
        <v>1998</v>
      </c>
      <c r="L76" s="41" t="s">
        <v>123</v>
      </c>
      <c r="M76" s="227">
        <v>0</v>
      </c>
      <c r="N76" s="151">
        <v>0</v>
      </c>
      <c r="O76" s="165">
        <f>45+45+135+21+75+60+45+75</f>
        <v>501</v>
      </c>
    </row>
    <row r="77" spans="1:15" ht="15" customHeight="1">
      <c r="A77" s="797"/>
      <c r="B77" s="797"/>
      <c r="C77" s="798"/>
      <c r="D77" s="22">
        <v>1</v>
      </c>
      <c r="E77" s="22"/>
      <c r="F77" s="22">
        <v>1</v>
      </c>
      <c r="G77" s="22">
        <v>1</v>
      </c>
      <c r="H77" s="22"/>
      <c r="I77" s="22" t="s">
        <v>212</v>
      </c>
      <c r="J77" s="222" t="s">
        <v>115</v>
      </c>
      <c r="K77" s="15">
        <v>2001</v>
      </c>
      <c r="L77" s="41" t="s">
        <v>123</v>
      </c>
      <c r="M77" s="227">
        <v>0</v>
      </c>
      <c r="N77" s="151">
        <v>0</v>
      </c>
      <c r="O77" s="165">
        <f>45+135+21</f>
        <v>201</v>
      </c>
    </row>
    <row r="78" spans="1:15" ht="15" customHeight="1">
      <c r="A78" s="797"/>
      <c r="B78" s="797"/>
      <c r="C78" s="798"/>
      <c r="D78" s="22">
        <v>1</v>
      </c>
      <c r="E78" s="40">
        <v>1</v>
      </c>
      <c r="F78" s="22"/>
      <c r="G78" s="22">
        <v>1</v>
      </c>
      <c r="H78" s="22"/>
      <c r="I78" s="22" t="s">
        <v>212</v>
      </c>
      <c r="J78" s="222" t="s">
        <v>212</v>
      </c>
      <c r="K78" s="15">
        <v>2001</v>
      </c>
      <c r="L78" s="41" t="s">
        <v>123</v>
      </c>
      <c r="M78" s="227">
        <v>0</v>
      </c>
      <c r="N78" s="151">
        <v>0</v>
      </c>
      <c r="O78" s="165">
        <f>45+135+21</f>
        <v>201</v>
      </c>
    </row>
    <row r="79" spans="1:15" ht="15" customHeight="1">
      <c r="A79" s="797"/>
      <c r="B79" s="797"/>
      <c r="C79" s="798"/>
      <c r="D79" s="22">
        <v>1</v>
      </c>
      <c r="E79" s="22"/>
      <c r="F79" s="22">
        <v>1</v>
      </c>
      <c r="G79" s="22">
        <v>1</v>
      </c>
      <c r="H79" s="22"/>
      <c r="I79" s="22" t="s">
        <v>212</v>
      </c>
      <c r="J79" s="222" t="s">
        <v>212</v>
      </c>
      <c r="K79" s="15">
        <v>2003</v>
      </c>
      <c r="L79" s="41" t="s">
        <v>382</v>
      </c>
      <c r="M79" s="227">
        <f>2*62</f>
        <v>124</v>
      </c>
      <c r="N79" s="151">
        <v>0</v>
      </c>
      <c r="O79" s="165">
        <v>0</v>
      </c>
    </row>
    <row r="80" spans="1:15" ht="15" customHeight="1">
      <c r="A80" s="797"/>
      <c r="B80" s="797"/>
      <c r="C80" s="798"/>
      <c r="D80" s="15">
        <v>1</v>
      </c>
      <c r="E80" s="22">
        <v>1</v>
      </c>
      <c r="F80" s="22"/>
      <c r="G80" s="22">
        <v>1</v>
      </c>
      <c r="H80" s="22"/>
      <c r="I80" s="22" t="s">
        <v>212</v>
      </c>
      <c r="J80" s="222" t="s">
        <v>212</v>
      </c>
      <c r="K80" s="15">
        <v>2004</v>
      </c>
      <c r="L80" s="41" t="s">
        <v>382</v>
      </c>
      <c r="M80" s="227">
        <f>3*62</f>
        <v>186</v>
      </c>
      <c r="N80" s="151">
        <v>0</v>
      </c>
      <c r="O80" s="165">
        <v>0</v>
      </c>
    </row>
    <row r="81" spans="1:15" ht="15" customHeight="1">
      <c r="A81" s="797"/>
      <c r="B81" s="797"/>
      <c r="C81" s="798"/>
      <c r="D81" s="15">
        <v>1</v>
      </c>
      <c r="E81" s="22"/>
      <c r="F81" s="22">
        <v>1</v>
      </c>
      <c r="G81" s="22">
        <v>1</v>
      </c>
      <c r="H81" s="22"/>
      <c r="I81" s="22" t="s">
        <v>212</v>
      </c>
      <c r="J81" s="222" t="s">
        <v>212</v>
      </c>
      <c r="K81" s="15">
        <v>2007</v>
      </c>
      <c r="L81" s="41" t="s">
        <v>382</v>
      </c>
      <c r="M81" s="227">
        <v>48</v>
      </c>
      <c r="N81" s="151">
        <v>0</v>
      </c>
      <c r="O81" s="165">
        <v>0</v>
      </c>
    </row>
    <row r="82" spans="1:15" ht="15" customHeight="1">
      <c r="A82" s="797"/>
      <c r="B82" s="797"/>
      <c r="C82" s="798"/>
      <c r="D82" s="22">
        <v>1</v>
      </c>
      <c r="E82" s="22"/>
      <c r="F82" s="22">
        <v>1</v>
      </c>
      <c r="G82" s="22">
        <v>1</v>
      </c>
      <c r="H82" s="22"/>
      <c r="I82" s="22" t="s">
        <v>212</v>
      </c>
      <c r="J82" s="222" t="s">
        <v>212</v>
      </c>
      <c r="K82" s="15">
        <v>2007</v>
      </c>
      <c r="L82" s="41" t="s">
        <v>382</v>
      </c>
      <c r="M82" s="227">
        <f>48*5</f>
        <v>240</v>
      </c>
      <c r="N82" s="151">
        <v>0</v>
      </c>
      <c r="O82" s="165">
        <v>0</v>
      </c>
    </row>
    <row r="83" spans="1:15" ht="15" customHeight="1">
      <c r="A83" s="797"/>
      <c r="B83" s="797"/>
      <c r="C83" s="798"/>
      <c r="D83" s="22">
        <v>1</v>
      </c>
      <c r="E83" s="22">
        <v>1</v>
      </c>
      <c r="F83" s="22"/>
      <c r="G83" s="22"/>
      <c r="H83" s="22">
        <v>1</v>
      </c>
      <c r="I83" s="22" t="s">
        <v>212</v>
      </c>
      <c r="J83" s="222" t="s">
        <v>20</v>
      </c>
      <c r="K83" s="15">
        <v>1997</v>
      </c>
      <c r="L83" s="41" t="s">
        <v>123</v>
      </c>
      <c r="M83" s="227">
        <v>0</v>
      </c>
      <c r="N83" s="151">
        <v>0</v>
      </c>
      <c r="O83" s="165">
        <f>45*2+75*2+60</f>
        <v>300</v>
      </c>
    </row>
    <row r="84" spans="1:15" ht="15" customHeight="1">
      <c r="A84" s="797"/>
      <c r="B84" s="797"/>
      <c r="C84" s="798"/>
      <c r="D84" s="22">
        <v>1</v>
      </c>
      <c r="E84" s="22">
        <v>1</v>
      </c>
      <c r="F84" s="22"/>
      <c r="G84" s="22"/>
      <c r="H84" s="22">
        <v>1</v>
      </c>
      <c r="I84" s="22" t="s">
        <v>223</v>
      </c>
      <c r="J84" s="222" t="s">
        <v>223</v>
      </c>
      <c r="K84" s="15">
        <v>1999</v>
      </c>
      <c r="L84" s="41" t="s">
        <v>123</v>
      </c>
      <c r="M84" s="227">
        <v>0</v>
      </c>
      <c r="N84" s="151">
        <v>0</v>
      </c>
      <c r="O84" s="165">
        <f>45+135+21+45+75</f>
        <v>321</v>
      </c>
    </row>
    <row r="85" spans="1:15" ht="15" customHeight="1">
      <c r="A85" s="797"/>
      <c r="B85" s="797"/>
      <c r="C85" s="798"/>
      <c r="D85" s="22">
        <v>1</v>
      </c>
      <c r="E85" s="22">
        <v>1</v>
      </c>
      <c r="F85" s="22"/>
      <c r="G85" s="22"/>
      <c r="H85" s="22">
        <v>1</v>
      </c>
      <c r="I85" s="22" t="s">
        <v>212</v>
      </c>
      <c r="J85" s="222" t="s">
        <v>18</v>
      </c>
      <c r="K85" s="15">
        <v>2008</v>
      </c>
      <c r="L85" s="41" t="s">
        <v>382</v>
      </c>
      <c r="M85" s="227">
        <v>48</v>
      </c>
      <c r="N85" s="151">
        <v>0</v>
      </c>
      <c r="O85" s="165">
        <v>0</v>
      </c>
    </row>
    <row r="86" spans="1:15" ht="15" customHeight="1">
      <c r="A86" s="797"/>
      <c r="B86" s="797"/>
      <c r="C86" s="798"/>
      <c r="D86" s="22">
        <v>1</v>
      </c>
      <c r="E86" s="22">
        <v>1</v>
      </c>
      <c r="F86" s="22"/>
      <c r="G86" s="22"/>
      <c r="H86" s="22">
        <v>1</v>
      </c>
      <c r="I86" s="22" t="s">
        <v>212</v>
      </c>
      <c r="J86" s="1" t="s">
        <v>18</v>
      </c>
      <c r="K86" s="15">
        <v>1997</v>
      </c>
      <c r="L86" s="41" t="s">
        <v>123</v>
      </c>
      <c r="M86" s="227">
        <v>0</v>
      </c>
      <c r="N86" s="151">
        <v>0</v>
      </c>
      <c r="O86" s="165">
        <f>45*2+75*2+60</f>
        <v>300</v>
      </c>
    </row>
    <row r="87" spans="1:15" ht="15" customHeight="1">
      <c r="A87" s="797"/>
      <c r="B87" s="797"/>
      <c r="C87" s="798"/>
      <c r="D87" s="22">
        <v>1</v>
      </c>
      <c r="E87" s="22"/>
      <c r="F87" s="22">
        <v>1</v>
      </c>
      <c r="G87" s="22"/>
      <c r="H87" s="22">
        <v>1</v>
      </c>
      <c r="I87" s="22" t="s">
        <v>212</v>
      </c>
      <c r="J87" s="1" t="s">
        <v>18</v>
      </c>
      <c r="K87" s="15">
        <v>2000</v>
      </c>
      <c r="L87" s="41" t="s">
        <v>123</v>
      </c>
      <c r="M87" s="227">
        <v>0</v>
      </c>
      <c r="N87" s="151">
        <v>0</v>
      </c>
      <c r="O87" s="165">
        <f>45*3+60+75+21+75*2+60</f>
        <v>501</v>
      </c>
    </row>
    <row r="88" spans="1:15" ht="15" customHeight="1">
      <c r="A88" s="797"/>
      <c r="B88" s="797"/>
      <c r="C88" s="798"/>
      <c r="D88" s="22">
        <v>1</v>
      </c>
      <c r="E88" s="22">
        <v>1</v>
      </c>
      <c r="F88" s="22"/>
      <c r="G88" s="22">
        <v>1</v>
      </c>
      <c r="H88" s="22"/>
      <c r="I88" s="22" t="s">
        <v>212</v>
      </c>
      <c r="J88" s="222" t="s">
        <v>212</v>
      </c>
      <c r="K88" s="618">
        <v>2002</v>
      </c>
      <c r="L88" s="41" t="s">
        <v>382</v>
      </c>
      <c r="M88" s="227">
        <f>2*62</f>
        <v>124</v>
      </c>
      <c r="N88" s="151">
        <v>0</v>
      </c>
      <c r="O88" s="165">
        <v>0</v>
      </c>
    </row>
    <row r="89" spans="1:15" ht="15" customHeight="1">
      <c r="A89" s="797"/>
      <c r="B89" s="797"/>
      <c r="C89" s="798"/>
      <c r="D89" s="22">
        <v>1</v>
      </c>
      <c r="E89" s="22">
        <v>1</v>
      </c>
      <c r="F89" s="22"/>
      <c r="G89" s="22">
        <v>1</v>
      </c>
      <c r="H89" s="22"/>
      <c r="I89" s="22" t="s">
        <v>212</v>
      </c>
      <c r="J89" s="222" t="s">
        <v>212</v>
      </c>
      <c r="K89" s="15">
        <v>2004</v>
      </c>
      <c r="L89" s="41" t="s">
        <v>382</v>
      </c>
      <c r="M89" s="227">
        <f>2*62</f>
        <v>124</v>
      </c>
      <c r="N89" s="151">
        <v>0</v>
      </c>
      <c r="O89" s="165">
        <v>0</v>
      </c>
    </row>
    <row r="90" spans="1:15" ht="15" customHeight="1">
      <c r="A90" s="797"/>
      <c r="B90" s="797"/>
      <c r="C90" s="798"/>
      <c r="D90" s="22">
        <v>1</v>
      </c>
      <c r="E90" s="22">
        <v>1</v>
      </c>
      <c r="F90" s="22"/>
      <c r="G90" s="22">
        <v>1</v>
      </c>
      <c r="H90" s="22"/>
      <c r="I90" s="22" t="s">
        <v>212</v>
      </c>
      <c r="J90" s="1" t="s">
        <v>212</v>
      </c>
      <c r="K90" s="15">
        <v>2008</v>
      </c>
      <c r="L90" s="41" t="s">
        <v>382</v>
      </c>
      <c r="M90" s="227">
        <f>4*48</f>
        <v>192</v>
      </c>
      <c r="N90" s="151">
        <v>0</v>
      </c>
      <c r="O90" s="165">
        <v>0</v>
      </c>
    </row>
    <row r="91" spans="1:15" ht="15" customHeight="1">
      <c r="A91" s="797"/>
      <c r="B91" s="797"/>
      <c r="C91" s="798"/>
      <c r="D91" s="22">
        <v>1</v>
      </c>
      <c r="E91" s="36"/>
      <c r="F91" s="22">
        <v>1</v>
      </c>
      <c r="G91" s="22"/>
      <c r="H91" s="22">
        <v>1</v>
      </c>
      <c r="I91" s="222" t="s">
        <v>171</v>
      </c>
      <c r="J91" s="222" t="s">
        <v>171</v>
      </c>
      <c r="K91" s="15">
        <v>2001</v>
      </c>
      <c r="L91" s="41" t="s">
        <v>123</v>
      </c>
      <c r="M91" s="227">
        <v>0</v>
      </c>
      <c r="N91" s="151">
        <v>0</v>
      </c>
      <c r="O91" s="165">
        <f>67.5+90+112.5+21</f>
        <v>291</v>
      </c>
    </row>
    <row r="92" spans="1:17" ht="15" customHeight="1">
      <c r="A92" s="797"/>
      <c r="B92" s="797"/>
      <c r="C92" s="798"/>
      <c r="D92" s="22">
        <v>1</v>
      </c>
      <c r="E92" s="22">
        <v>1</v>
      </c>
      <c r="F92" s="22"/>
      <c r="G92" s="22"/>
      <c r="H92" s="22">
        <v>1</v>
      </c>
      <c r="I92" s="222" t="s">
        <v>171</v>
      </c>
      <c r="J92" s="222" t="s">
        <v>171</v>
      </c>
      <c r="K92" s="15">
        <v>1970</v>
      </c>
      <c r="L92" s="41" t="s">
        <v>123</v>
      </c>
      <c r="M92" s="227">
        <v>0</v>
      </c>
      <c r="N92" s="151">
        <v>0</v>
      </c>
      <c r="O92" s="165">
        <f>67.5*2+112.5+113+90</f>
        <v>450.5</v>
      </c>
      <c r="Q92" s="71"/>
    </row>
    <row r="93" spans="1:15" ht="14.25" customHeight="1">
      <c r="A93" s="797"/>
      <c r="B93" s="797"/>
      <c r="C93" s="798"/>
      <c r="D93" s="22">
        <v>1</v>
      </c>
      <c r="E93" s="22">
        <v>1</v>
      </c>
      <c r="F93" s="22"/>
      <c r="G93" s="22">
        <v>1</v>
      </c>
      <c r="H93" s="22"/>
      <c r="I93" s="22" t="s">
        <v>212</v>
      </c>
      <c r="J93" s="222" t="s">
        <v>212</v>
      </c>
      <c r="K93" s="40">
        <v>1999</v>
      </c>
      <c r="L93" s="41" t="s">
        <v>123</v>
      </c>
      <c r="M93" s="227">
        <v>0</v>
      </c>
      <c r="N93" s="151">
        <v>0</v>
      </c>
      <c r="O93" s="165">
        <f>45*2+75*2+60</f>
        <v>300</v>
      </c>
    </row>
    <row r="94" spans="1:15" ht="14.25" customHeight="1">
      <c r="A94" s="797"/>
      <c r="B94" s="797"/>
      <c r="C94" s="798"/>
      <c r="D94" s="22">
        <v>1</v>
      </c>
      <c r="E94" s="22"/>
      <c r="F94" s="22">
        <v>1</v>
      </c>
      <c r="G94" s="22"/>
      <c r="H94" s="22">
        <v>1</v>
      </c>
      <c r="I94" s="22" t="s">
        <v>212</v>
      </c>
      <c r="J94" s="1" t="s">
        <v>427</v>
      </c>
      <c r="K94" s="40">
        <v>2003</v>
      </c>
      <c r="L94" s="41" t="s">
        <v>382</v>
      </c>
      <c r="M94" s="227">
        <f>3*62</f>
        <v>186</v>
      </c>
      <c r="N94" s="151">
        <v>0</v>
      </c>
      <c r="O94" s="165">
        <v>0</v>
      </c>
    </row>
    <row r="95" spans="1:15" ht="15" customHeight="1">
      <c r="A95" s="797"/>
      <c r="B95" s="797"/>
      <c r="C95" s="798"/>
      <c r="D95" s="22">
        <v>1</v>
      </c>
      <c r="E95" s="22"/>
      <c r="F95" s="22">
        <v>1</v>
      </c>
      <c r="G95" s="22"/>
      <c r="H95" s="22">
        <v>1</v>
      </c>
      <c r="I95" s="22" t="s">
        <v>212</v>
      </c>
      <c r="J95" s="1" t="s">
        <v>427</v>
      </c>
      <c r="K95" s="40">
        <v>2001</v>
      </c>
      <c r="L95" s="41" t="s">
        <v>382</v>
      </c>
      <c r="M95" s="227">
        <f>3*62</f>
        <v>186</v>
      </c>
      <c r="N95" s="151">
        <v>0</v>
      </c>
      <c r="O95" s="165">
        <v>0</v>
      </c>
    </row>
    <row r="96" spans="1:15" ht="15" customHeight="1">
      <c r="A96" s="797"/>
      <c r="B96" s="797"/>
      <c r="C96" s="798"/>
      <c r="D96" s="22">
        <v>1</v>
      </c>
      <c r="E96" s="22"/>
      <c r="F96" s="22">
        <v>1</v>
      </c>
      <c r="G96" s="22"/>
      <c r="H96" s="22">
        <v>1</v>
      </c>
      <c r="I96" s="22" t="s">
        <v>147</v>
      </c>
      <c r="J96" s="222" t="s">
        <v>132</v>
      </c>
      <c r="K96" s="15">
        <v>1999</v>
      </c>
      <c r="L96" s="41" t="s">
        <v>123</v>
      </c>
      <c r="M96" s="227">
        <v>0</v>
      </c>
      <c r="N96" s="151">
        <v>0</v>
      </c>
      <c r="O96" s="165">
        <f>45+60+75+21</f>
        <v>201</v>
      </c>
    </row>
    <row r="97" spans="1:15" s="402" customFormat="1" ht="15" customHeight="1">
      <c r="A97" s="797"/>
      <c r="B97" s="797"/>
      <c r="C97" s="798"/>
      <c r="D97" s="22">
        <v>1</v>
      </c>
      <c r="E97" s="22">
        <v>1</v>
      </c>
      <c r="F97" s="335"/>
      <c r="G97" s="22"/>
      <c r="H97" s="22">
        <v>1</v>
      </c>
      <c r="I97" s="22" t="s">
        <v>212</v>
      </c>
      <c r="J97" s="335" t="s">
        <v>18</v>
      </c>
      <c r="K97" s="2">
        <v>2001</v>
      </c>
      <c r="L97" s="41" t="s">
        <v>382</v>
      </c>
      <c r="M97" s="400">
        <v>124</v>
      </c>
      <c r="N97" s="145">
        <v>0</v>
      </c>
      <c r="O97" s="401">
        <v>0</v>
      </c>
    </row>
    <row r="98" spans="1:15" ht="15" customHeight="1">
      <c r="A98" s="797"/>
      <c r="B98" s="797"/>
      <c r="C98" s="798"/>
      <c r="D98" s="22">
        <v>1</v>
      </c>
      <c r="E98" s="22">
        <v>1</v>
      </c>
      <c r="F98" s="22"/>
      <c r="G98" s="22">
        <v>1</v>
      </c>
      <c r="H98" s="22"/>
      <c r="I98" s="22" t="s">
        <v>212</v>
      </c>
      <c r="J98" s="222" t="s">
        <v>146</v>
      </c>
      <c r="K98" s="15">
        <v>2003</v>
      </c>
      <c r="L98" s="41" t="s">
        <v>382</v>
      </c>
      <c r="M98" s="227">
        <v>62</v>
      </c>
      <c r="N98" s="151">
        <v>0</v>
      </c>
      <c r="O98" s="165">
        <v>0</v>
      </c>
    </row>
    <row r="99" spans="1:15" ht="15" customHeight="1">
      <c r="A99" s="797"/>
      <c r="B99" s="797"/>
      <c r="C99" s="798"/>
      <c r="D99" s="22">
        <v>1</v>
      </c>
      <c r="E99" s="22">
        <v>1</v>
      </c>
      <c r="F99" s="22"/>
      <c r="G99" s="22"/>
      <c r="H99" s="22">
        <v>1</v>
      </c>
      <c r="I99" s="22" t="s">
        <v>212</v>
      </c>
      <c r="J99" s="222" t="s">
        <v>18</v>
      </c>
      <c r="K99" s="15">
        <v>1999</v>
      </c>
      <c r="L99" s="41" t="s">
        <v>123</v>
      </c>
      <c r="M99" s="227">
        <v>0</v>
      </c>
      <c r="N99" s="151">
        <v>0</v>
      </c>
      <c r="O99" s="165">
        <f>67.5*2+90+112.5+21</f>
        <v>358.5</v>
      </c>
    </row>
    <row r="100" spans="1:15" ht="15" customHeight="1">
      <c r="A100" s="797"/>
      <c r="B100" s="797"/>
      <c r="C100" s="798"/>
      <c r="D100" s="22">
        <v>1</v>
      </c>
      <c r="E100" s="22">
        <v>1</v>
      </c>
      <c r="F100" s="22"/>
      <c r="G100" s="22"/>
      <c r="H100" s="22">
        <v>1</v>
      </c>
      <c r="I100" s="22" t="s">
        <v>212</v>
      </c>
      <c r="J100" s="222" t="s">
        <v>18</v>
      </c>
      <c r="K100" s="15">
        <v>2000</v>
      </c>
      <c r="L100" s="41" t="s">
        <v>123</v>
      </c>
      <c r="M100" s="227">
        <v>0</v>
      </c>
      <c r="N100" s="151">
        <v>0</v>
      </c>
      <c r="O100" s="165">
        <f>67.5+90+120+150+21+113+90+67.5+112.5+113+90+67.5+112.5</f>
        <v>1214.5</v>
      </c>
    </row>
    <row r="101" spans="1:15" ht="15" customHeight="1">
      <c r="A101" s="797"/>
      <c r="B101" s="797"/>
      <c r="C101" s="798"/>
      <c r="D101" s="22">
        <v>1</v>
      </c>
      <c r="E101" s="22">
        <v>1</v>
      </c>
      <c r="F101" s="22"/>
      <c r="G101" s="22">
        <v>1</v>
      </c>
      <c r="H101" s="22"/>
      <c r="I101" s="22" t="s">
        <v>212</v>
      </c>
      <c r="J101" s="22" t="s">
        <v>212</v>
      </c>
      <c r="K101" s="15">
        <v>2003</v>
      </c>
      <c r="L101" s="41" t="s">
        <v>382</v>
      </c>
      <c r="M101" s="227">
        <f>7*62</f>
        <v>434</v>
      </c>
      <c r="N101" s="151">
        <v>0</v>
      </c>
      <c r="O101" s="165">
        <v>0</v>
      </c>
    </row>
    <row r="102" spans="1:15" ht="15" customHeight="1">
      <c r="A102" s="797"/>
      <c r="B102" s="797"/>
      <c r="C102" s="798"/>
      <c r="D102" s="22">
        <v>1</v>
      </c>
      <c r="E102" s="22"/>
      <c r="F102" s="22">
        <v>1</v>
      </c>
      <c r="G102" s="22">
        <v>1</v>
      </c>
      <c r="H102" s="22"/>
      <c r="I102" s="22" t="s">
        <v>212</v>
      </c>
      <c r="J102" s="22" t="s">
        <v>212</v>
      </c>
      <c r="K102" s="40">
        <v>2001</v>
      </c>
      <c r="L102" s="41" t="s">
        <v>123</v>
      </c>
      <c r="M102" s="227">
        <v>0</v>
      </c>
      <c r="N102" s="151">
        <v>0</v>
      </c>
      <c r="O102" s="165">
        <f>67.5+90+112.5+21</f>
        <v>291</v>
      </c>
    </row>
    <row r="103" spans="1:15" ht="15" customHeight="1">
      <c r="A103" s="797"/>
      <c r="B103" s="797"/>
      <c r="C103" s="798"/>
      <c r="D103" s="22">
        <v>1</v>
      </c>
      <c r="E103" s="22"/>
      <c r="F103" s="22">
        <v>1</v>
      </c>
      <c r="G103" s="22"/>
      <c r="H103" s="22">
        <v>1</v>
      </c>
      <c r="I103" s="22" t="s">
        <v>212</v>
      </c>
      <c r="J103" s="22" t="s">
        <v>427</v>
      </c>
      <c r="K103" s="15">
        <v>2000</v>
      </c>
      <c r="L103" s="41" t="s">
        <v>123</v>
      </c>
      <c r="M103" s="227">
        <v>0</v>
      </c>
      <c r="N103" s="151">
        <v>0</v>
      </c>
      <c r="O103" s="165">
        <f>45*2+60+75+21+75+60+45+75</f>
        <v>501</v>
      </c>
    </row>
    <row r="104" spans="1:15" ht="15" customHeight="1">
      <c r="A104" s="797"/>
      <c r="B104" s="797"/>
      <c r="C104" s="798"/>
      <c r="D104" s="22">
        <v>1</v>
      </c>
      <c r="E104" s="22"/>
      <c r="F104" s="22">
        <v>1</v>
      </c>
      <c r="G104" s="22"/>
      <c r="H104" s="22">
        <v>1</v>
      </c>
      <c r="I104" s="22" t="s">
        <v>212</v>
      </c>
      <c r="J104" s="222" t="s">
        <v>18</v>
      </c>
      <c r="K104" s="15">
        <v>2004</v>
      </c>
      <c r="L104" s="41" t="s">
        <v>382</v>
      </c>
      <c r="M104" s="227">
        <f>5*62</f>
        <v>310</v>
      </c>
      <c r="N104" s="151">
        <v>0</v>
      </c>
      <c r="O104" s="165">
        <v>0</v>
      </c>
    </row>
    <row r="105" spans="1:15" ht="15" customHeight="1">
      <c r="A105" s="797"/>
      <c r="B105" s="797"/>
      <c r="C105" s="798"/>
      <c r="D105" s="22">
        <v>1</v>
      </c>
      <c r="E105" s="22">
        <v>1</v>
      </c>
      <c r="F105" s="22"/>
      <c r="G105" s="22">
        <v>1</v>
      </c>
      <c r="H105" s="22"/>
      <c r="I105" s="22" t="s">
        <v>212</v>
      </c>
      <c r="J105" s="222" t="s">
        <v>145</v>
      </c>
      <c r="K105" s="15">
        <v>2000</v>
      </c>
      <c r="L105" s="41" t="s">
        <v>123</v>
      </c>
      <c r="M105" s="227">
        <v>0</v>
      </c>
      <c r="N105" s="151">
        <v>0</v>
      </c>
      <c r="O105" s="165">
        <f>67.5*2+90+112.5+21+113+90+67.5+112.5</f>
        <v>741.5</v>
      </c>
    </row>
    <row r="106" spans="1:15" ht="15" customHeight="1">
      <c r="A106" s="797"/>
      <c r="B106" s="797"/>
      <c r="C106" s="798"/>
      <c r="D106" s="22">
        <v>1</v>
      </c>
      <c r="E106" s="22"/>
      <c r="F106" s="22">
        <v>1</v>
      </c>
      <c r="G106" s="22"/>
      <c r="H106" s="22">
        <v>1</v>
      </c>
      <c r="I106" s="22" t="s">
        <v>212</v>
      </c>
      <c r="J106" s="22" t="s">
        <v>20</v>
      </c>
      <c r="K106" s="15">
        <v>2000</v>
      </c>
      <c r="L106" s="41" t="s">
        <v>123</v>
      </c>
      <c r="M106" s="227">
        <v>0</v>
      </c>
      <c r="N106" s="151">
        <v>0</v>
      </c>
      <c r="O106" s="165">
        <f>67.5*2+90+112.5+21+75+60+45+75</f>
        <v>613.5</v>
      </c>
    </row>
    <row r="107" spans="1:15" ht="15" customHeight="1">
      <c r="A107" s="797"/>
      <c r="B107" s="797"/>
      <c r="C107" s="798"/>
      <c r="D107" s="22">
        <v>1</v>
      </c>
      <c r="E107" s="22">
        <v>1</v>
      </c>
      <c r="F107" s="22"/>
      <c r="G107" s="22"/>
      <c r="H107" s="22">
        <v>1</v>
      </c>
      <c r="I107" s="22" t="s">
        <v>212</v>
      </c>
      <c r="J107" s="22" t="s">
        <v>500</v>
      </c>
      <c r="K107" s="41">
        <v>2001</v>
      </c>
      <c r="L107" s="41" t="s">
        <v>123</v>
      </c>
      <c r="M107" s="400">
        <v>0</v>
      </c>
      <c r="N107" s="145">
        <v>0</v>
      </c>
      <c r="O107" s="401">
        <f>45+60+75+21</f>
        <v>201</v>
      </c>
    </row>
    <row r="108" spans="1:15" ht="15" customHeight="1">
      <c r="A108" s="797"/>
      <c r="B108" s="797"/>
      <c r="C108" s="798"/>
      <c r="D108" s="22">
        <v>1</v>
      </c>
      <c r="E108" s="22">
        <v>1</v>
      </c>
      <c r="F108" s="22"/>
      <c r="G108" s="22">
        <v>1</v>
      </c>
      <c r="H108" s="22"/>
      <c r="I108" s="222" t="s">
        <v>212</v>
      </c>
      <c r="J108" s="222" t="s">
        <v>212</v>
      </c>
      <c r="K108" s="15">
        <v>2005</v>
      </c>
      <c r="L108" s="41" t="s">
        <v>382</v>
      </c>
      <c r="M108" s="227">
        <f>8*62</f>
        <v>496</v>
      </c>
      <c r="N108" s="151">
        <v>0</v>
      </c>
      <c r="O108" s="165">
        <v>0</v>
      </c>
    </row>
    <row r="109" spans="1:15" ht="15" customHeight="1">
      <c r="A109" s="797"/>
      <c r="B109" s="797"/>
      <c r="C109" s="798"/>
      <c r="D109" s="22">
        <v>1</v>
      </c>
      <c r="E109" s="22"/>
      <c r="F109" s="22">
        <v>1</v>
      </c>
      <c r="G109" s="22">
        <v>1</v>
      </c>
      <c r="H109" s="22"/>
      <c r="I109" s="222" t="s">
        <v>212</v>
      </c>
      <c r="J109" s="222" t="s">
        <v>212</v>
      </c>
      <c r="K109" s="15">
        <v>2002</v>
      </c>
      <c r="L109" s="41" t="s">
        <v>382</v>
      </c>
      <c r="M109" s="227">
        <f>3*62</f>
        <v>186</v>
      </c>
      <c r="N109" s="151">
        <v>0</v>
      </c>
      <c r="O109" s="165">
        <v>0</v>
      </c>
    </row>
    <row r="110" spans="1:15" ht="15" customHeight="1">
      <c r="A110" s="797"/>
      <c r="B110" s="797"/>
      <c r="C110" s="798"/>
      <c r="D110" s="22">
        <v>1</v>
      </c>
      <c r="E110" s="22"/>
      <c r="F110" s="22">
        <v>1</v>
      </c>
      <c r="G110" s="22">
        <v>1</v>
      </c>
      <c r="H110" s="22"/>
      <c r="I110" s="222" t="s">
        <v>212</v>
      </c>
      <c r="J110" s="222" t="s">
        <v>212</v>
      </c>
      <c r="K110" s="15">
        <v>2005</v>
      </c>
      <c r="L110" s="41" t="s">
        <v>382</v>
      </c>
      <c r="M110" s="227">
        <v>186</v>
      </c>
      <c r="N110" s="151">
        <v>0</v>
      </c>
      <c r="O110" s="165">
        <v>0</v>
      </c>
    </row>
    <row r="111" spans="1:15" ht="15" customHeight="1">
      <c r="A111" s="797"/>
      <c r="B111" s="797"/>
      <c r="C111" s="798"/>
      <c r="D111" s="22">
        <v>1</v>
      </c>
      <c r="E111" s="22">
        <v>1</v>
      </c>
      <c r="F111" s="22"/>
      <c r="G111" s="22">
        <v>1</v>
      </c>
      <c r="H111" s="22"/>
      <c r="I111" s="222" t="s">
        <v>212</v>
      </c>
      <c r="J111" s="222" t="s">
        <v>212</v>
      </c>
      <c r="K111" s="15">
        <v>2001</v>
      </c>
      <c r="L111" s="41" t="s">
        <v>382</v>
      </c>
      <c r="M111" s="227">
        <f>4*62</f>
        <v>248</v>
      </c>
      <c r="N111" s="151">
        <v>0</v>
      </c>
      <c r="O111" s="165">
        <v>0</v>
      </c>
    </row>
    <row r="112" spans="1:15" ht="15" customHeight="1">
      <c r="A112" s="797"/>
      <c r="B112" s="797"/>
      <c r="C112" s="798"/>
      <c r="D112" s="22">
        <v>1</v>
      </c>
      <c r="E112" s="22">
        <v>1</v>
      </c>
      <c r="F112" s="22"/>
      <c r="G112" s="22">
        <v>1</v>
      </c>
      <c r="H112" s="22"/>
      <c r="I112" s="222" t="s">
        <v>212</v>
      </c>
      <c r="J112" s="222" t="s">
        <v>212</v>
      </c>
      <c r="K112" s="15">
        <v>2006</v>
      </c>
      <c r="L112" s="41" t="s">
        <v>382</v>
      </c>
      <c r="M112" s="227">
        <f>5*48</f>
        <v>240</v>
      </c>
      <c r="N112" s="151">
        <v>0</v>
      </c>
      <c r="O112" s="165">
        <v>0</v>
      </c>
    </row>
    <row r="113" spans="1:15" ht="15" customHeight="1">
      <c r="A113" s="797"/>
      <c r="B113" s="797"/>
      <c r="C113" s="798"/>
      <c r="D113" s="22">
        <v>1</v>
      </c>
      <c r="E113" s="22">
        <v>1</v>
      </c>
      <c r="F113" s="22"/>
      <c r="G113" s="22"/>
      <c r="H113" s="22">
        <v>1</v>
      </c>
      <c r="I113" s="22" t="s">
        <v>343</v>
      </c>
      <c r="J113" s="222" t="s">
        <v>343</v>
      </c>
      <c r="K113" s="15">
        <v>2000</v>
      </c>
      <c r="L113" s="41" t="s">
        <v>123</v>
      </c>
      <c r="M113" s="227">
        <v>0</v>
      </c>
      <c r="N113" s="151">
        <v>0</v>
      </c>
      <c r="O113" s="165">
        <f>67.5+90+112.5+21</f>
        <v>291</v>
      </c>
    </row>
    <row r="114" spans="1:15" ht="15" customHeight="1">
      <c r="A114" s="797"/>
      <c r="B114" s="797"/>
      <c r="C114" s="798"/>
      <c r="D114" s="22">
        <v>1</v>
      </c>
      <c r="E114" s="22">
        <v>1</v>
      </c>
      <c r="F114" s="22"/>
      <c r="G114" s="22"/>
      <c r="H114" s="22">
        <v>1</v>
      </c>
      <c r="I114" s="22" t="s">
        <v>343</v>
      </c>
      <c r="J114" s="222" t="s">
        <v>343</v>
      </c>
      <c r="K114" s="15">
        <v>1998</v>
      </c>
      <c r="L114" s="41" t="s">
        <v>123</v>
      </c>
      <c r="M114" s="227">
        <v>0</v>
      </c>
      <c r="N114" s="151">
        <v>0</v>
      </c>
      <c r="O114" s="165">
        <f>45+67.5+90+112.5+21+75+60+45+75</f>
        <v>591</v>
      </c>
    </row>
    <row r="115" spans="1:15" ht="15" customHeight="1">
      <c r="A115" s="797"/>
      <c r="B115" s="797"/>
      <c r="C115" s="798"/>
      <c r="D115" s="22">
        <v>1</v>
      </c>
      <c r="E115" s="22"/>
      <c r="F115" s="22">
        <v>1</v>
      </c>
      <c r="G115" s="22"/>
      <c r="H115" s="22">
        <v>1</v>
      </c>
      <c r="I115" s="22" t="s">
        <v>500</v>
      </c>
      <c r="J115" s="22" t="s">
        <v>500</v>
      </c>
      <c r="K115" s="15">
        <v>1998</v>
      </c>
      <c r="L115" s="41" t="s">
        <v>123</v>
      </c>
      <c r="M115" s="227">
        <v>0</v>
      </c>
      <c r="N115" s="151">
        <v>0</v>
      </c>
      <c r="O115" s="165">
        <f>67.5*2+90+112.5+21+113+90+67.5+112.5</f>
        <v>741.5</v>
      </c>
    </row>
    <row r="116" spans="1:15" s="402" customFormat="1" ht="15" customHeight="1">
      <c r="A116" s="797"/>
      <c r="B116" s="797"/>
      <c r="C116" s="798"/>
      <c r="D116" s="22">
        <v>1</v>
      </c>
      <c r="E116" s="22"/>
      <c r="F116" s="22">
        <v>1</v>
      </c>
      <c r="G116" s="22">
        <v>1</v>
      </c>
      <c r="H116" s="22"/>
      <c r="I116" s="222" t="s">
        <v>212</v>
      </c>
      <c r="J116" s="222" t="s">
        <v>212</v>
      </c>
      <c r="K116" s="15">
        <v>1999</v>
      </c>
      <c r="L116" s="41" t="s">
        <v>382</v>
      </c>
      <c r="M116" s="227">
        <f>62+48*2</f>
        <v>158</v>
      </c>
      <c r="N116" s="151">
        <v>0</v>
      </c>
      <c r="O116" s="165">
        <v>0</v>
      </c>
    </row>
    <row r="117" spans="1:15" s="402" customFormat="1" ht="15" customHeight="1">
      <c r="A117" s="797"/>
      <c r="B117" s="797"/>
      <c r="C117" s="798"/>
      <c r="D117" s="22">
        <v>1</v>
      </c>
      <c r="E117" s="22">
        <v>1</v>
      </c>
      <c r="F117" s="22"/>
      <c r="G117" s="22">
        <v>1</v>
      </c>
      <c r="H117" s="22"/>
      <c r="I117" s="222" t="s">
        <v>212</v>
      </c>
      <c r="J117" s="222" t="s">
        <v>212</v>
      </c>
      <c r="K117" s="22">
        <v>1998</v>
      </c>
      <c r="L117" s="41" t="s">
        <v>382</v>
      </c>
      <c r="M117" s="400">
        <v>0</v>
      </c>
      <c r="N117" s="145">
        <v>0</v>
      </c>
      <c r="O117" s="401">
        <v>45</v>
      </c>
    </row>
    <row r="118" spans="1:15" s="402" customFormat="1" ht="15" customHeight="1">
      <c r="A118" s="797"/>
      <c r="B118" s="797"/>
      <c r="C118" s="798"/>
      <c r="D118" s="22">
        <v>1</v>
      </c>
      <c r="E118" s="22">
        <v>1</v>
      </c>
      <c r="F118" s="22"/>
      <c r="G118" s="22"/>
      <c r="H118" s="22">
        <v>1</v>
      </c>
      <c r="I118" s="22" t="s">
        <v>327</v>
      </c>
      <c r="J118" s="222" t="s">
        <v>327</v>
      </c>
      <c r="K118" s="22">
        <v>1998</v>
      </c>
      <c r="L118" s="41" t="s">
        <v>123</v>
      </c>
      <c r="M118" s="400">
        <v>0</v>
      </c>
      <c r="N118" s="145">
        <v>0</v>
      </c>
      <c r="O118" s="401">
        <f>67.5+113+90+67.5+112.5</f>
        <v>450.5</v>
      </c>
    </row>
    <row r="119" spans="1:15" s="402" customFormat="1" ht="15" customHeight="1">
      <c r="A119" s="797"/>
      <c r="B119" s="797"/>
      <c r="C119" s="798"/>
      <c r="D119" s="22">
        <v>1</v>
      </c>
      <c r="E119" s="22"/>
      <c r="F119" s="22">
        <v>1</v>
      </c>
      <c r="G119" s="22"/>
      <c r="H119" s="22">
        <v>1</v>
      </c>
      <c r="I119" s="22" t="s">
        <v>212</v>
      </c>
      <c r="J119" s="222" t="s">
        <v>327</v>
      </c>
      <c r="K119" s="22">
        <v>2003</v>
      </c>
      <c r="L119" s="41" t="s">
        <v>382</v>
      </c>
      <c r="M119" s="400">
        <f>3*62</f>
        <v>186</v>
      </c>
      <c r="N119" s="145">
        <v>0</v>
      </c>
      <c r="O119" s="401">
        <v>0</v>
      </c>
    </row>
    <row r="120" spans="1:15" s="402" customFormat="1" ht="15" customHeight="1">
      <c r="A120" s="797"/>
      <c r="B120" s="797"/>
      <c r="C120" s="798"/>
      <c r="D120" s="22">
        <v>1</v>
      </c>
      <c r="E120" s="22"/>
      <c r="F120" s="22">
        <v>1</v>
      </c>
      <c r="G120" s="22">
        <v>1</v>
      </c>
      <c r="H120" s="22"/>
      <c r="I120" s="222" t="s">
        <v>212</v>
      </c>
      <c r="J120" s="222" t="s">
        <v>212</v>
      </c>
      <c r="K120" s="22">
        <v>2003</v>
      </c>
      <c r="L120" s="41" t="s">
        <v>382</v>
      </c>
      <c r="M120" s="400">
        <f>5*62</f>
        <v>310</v>
      </c>
      <c r="N120" s="145">
        <v>0</v>
      </c>
      <c r="O120" s="401">
        <v>0</v>
      </c>
    </row>
    <row r="121" spans="1:15" s="402" customFormat="1" ht="15" customHeight="1">
      <c r="A121" s="797"/>
      <c r="B121" s="797"/>
      <c r="C121" s="798"/>
      <c r="D121" s="22">
        <v>1</v>
      </c>
      <c r="E121" s="22">
        <v>1</v>
      </c>
      <c r="F121" s="22"/>
      <c r="G121" s="22">
        <v>1</v>
      </c>
      <c r="H121" s="22"/>
      <c r="I121" s="22" t="s">
        <v>212</v>
      </c>
      <c r="J121" s="222" t="s">
        <v>423</v>
      </c>
      <c r="K121" s="22">
        <v>2006</v>
      </c>
      <c r="L121" s="41" t="s">
        <v>382</v>
      </c>
      <c r="M121" s="400">
        <f>48*2</f>
        <v>96</v>
      </c>
      <c r="N121" s="145">
        <v>0</v>
      </c>
      <c r="O121" s="401">
        <v>0</v>
      </c>
    </row>
    <row r="122" spans="1:15" s="402" customFormat="1" ht="15" customHeight="1">
      <c r="A122" s="797"/>
      <c r="B122" s="797"/>
      <c r="C122" s="798"/>
      <c r="D122" s="22">
        <v>1</v>
      </c>
      <c r="E122" s="22">
        <v>1</v>
      </c>
      <c r="F122" s="22"/>
      <c r="G122" s="22">
        <v>1</v>
      </c>
      <c r="H122" s="22"/>
      <c r="I122" s="22" t="s">
        <v>212</v>
      </c>
      <c r="J122" s="222" t="s">
        <v>501</v>
      </c>
      <c r="K122" s="22">
        <v>1998</v>
      </c>
      <c r="L122" s="41" t="s">
        <v>123</v>
      </c>
      <c r="M122" s="400">
        <v>0</v>
      </c>
      <c r="N122" s="145">
        <v>0</v>
      </c>
      <c r="O122" s="401">
        <f>67.5+45+60+75+21+113+60+67.5+112.5</f>
        <v>621.5</v>
      </c>
    </row>
    <row r="123" spans="1:15" s="402" customFormat="1" ht="15" customHeight="1">
      <c r="A123" s="797"/>
      <c r="B123" s="797"/>
      <c r="C123" s="798"/>
      <c r="D123" s="22">
        <v>1</v>
      </c>
      <c r="E123" s="22"/>
      <c r="F123" s="22">
        <v>1</v>
      </c>
      <c r="G123" s="22"/>
      <c r="H123" s="22">
        <v>1</v>
      </c>
      <c r="I123" s="22" t="s">
        <v>212</v>
      </c>
      <c r="J123" s="415" t="s">
        <v>20</v>
      </c>
      <c r="K123" s="22">
        <v>2005</v>
      </c>
      <c r="L123" s="41" t="s">
        <v>382</v>
      </c>
      <c r="M123" s="400">
        <v>62</v>
      </c>
      <c r="N123" s="145">
        <v>0</v>
      </c>
      <c r="O123" s="401">
        <v>0</v>
      </c>
    </row>
    <row r="124" spans="1:15" s="402" customFormat="1" ht="15" customHeight="1">
      <c r="A124" s="797"/>
      <c r="B124" s="797"/>
      <c r="C124" s="798"/>
      <c r="D124" s="22">
        <v>1</v>
      </c>
      <c r="E124" s="22">
        <v>1</v>
      </c>
      <c r="F124" s="22"/>
      <c r="G124" s="22"/>
      <c r="H124" s="22">
        <v>1</v>
      </c>
      <c r="I124" s="22" t="s">
        <v>343</v>
      </c>
      <c r="J124" s="222" t="s">
        <v>343</v>
      </c>
      <c r="K124" s="22">
        <v>1999</v>
      </c>
      <c r="L124" s="41" t="s">
        <v>123</v>
      </c>
      <c r="M124" s="400">
        <v>0</v>
      </c>
      <c r="N124" s="145">
        <v>0</v>
      </c>
      <c r="O124" s="401">
        <f>45+75+60+45+75</f>
        <v>300</v>
      </c>
    </row>
    <row r="125" spans="1:15" s="402" customFormat="1" ht="15" customHeight="1">
      <c r="A125" s="797"/>
      <c r="B125" s="797"/>
      <c r="C125" s="798"/>
      <c r="D125" s="22">
        <v>1</v>
      </c>
      <c r="E125" s="22">
        <v>1</v>
      </c>
      <c r="F125" s="22"/>
      <c r="G125" s="22">
        <v>1</v>
      </c>
      <c r="H125" s="22"/>
      <c r="I125" s="22" t="s">
        <v>212</v>
      </c>
      <c r="J125" s="222" t="s">
        <v>133</v>
      </c>
      <c r="K125" s="22">
        <v>2007</v>
      </c>
      <c r="L125" s="41" t="s">
        <v>382</v>
      </c>
      <c r="M125" s="400">
        <f>48*5</f>
        <v>240</v>
      </c>
      <c r="N125" s="145">
        <v>0</v>
      </c>
      <c r="O125" s="401">
        <v>0</v>
      </c>
    </row>
    <row r="126" spans="1:15" s="402" customFormat="1" ht="15" customHeight="1">
      <c r="A126" s="797"/>
      <c r="B126" s="797"/>
      <c r="C126" s="798"/>
      <c r="D126" s="22">
        <v>1</v>
      </c>
      <c r="E126" s="22">
        <v>1</v>
      </c>
      <c r="F126" s="22"/>
      <c r="G126" s="22">
        <v>1</v>
      </c>
      <c r="H126" s="22"/>
      <c r="I126" s="22" t="s">
        <v>212</v>
      </c>
      <c r="J126" s="222" t="s">
        <v>134</v>
      </c>
      <c r="K126" s="22">
        <v>2007</v>
      </c>
      <c r="L126" s="41" t="s">
        <v>382</v>
      </c>
      <c r="M126" s="400">
        <f>5*48</f>
        <v>240</v>
      </c>
      <c r="N126" s="145">
        <v>0</v>
      </c>
      <c r="O126" s="401">
        <v>0</v>
      </c>
    </row>
    <row r="127" spans="1:15" s="402" customFormat="1" ht="15" customHeight="1">
      <c r="A127" s="797"/>
      <c r="B127" s="797"/>
      <c r="C127" s="798"/>
      <c r="D127" s="22">
        <v>1</v>
      </c>
      <c r="E127" s="22">
        <v>1</v>
      </c>
      <c r="F127" s="22"/>
      <c r="G127" s="22"/>
      <c r="H127" s="22">
        <v>1</v>
      </c>
      <c r="I127" s="22" t="s">
        <v>212</v>
      </c>
      <c r="J127" s="222" t="s">
        <v>18</v>
      </c>
      <c r="K127" s="22">
        <v>2006</v>
      </c>
      <c r="L127" s="41" t="s">
        <v>382</v>
      </c>
      <c r="M127" s="400">
        <v>0</v>
      </c>
      <c r="N127" s="145">
        <v>0</v>
      </c>
      <c r="O127" s="401">
        <v>0</v>
      </c>
    </row>
    <row r="128" spans="1:15" ht="15" customHeight="1">
      <c r="A128" s="797"/>
      <c r="B128" s="797"/>
      <c r="C128" s="798"/>
      <c r="D128" s="22">
        <v>1</v>
      </c>
      <c r="E128" s="22"/>
      <c r="F128" s="22">
        <v>1</v>
      </c>
      <c r="G128" s="22"/>
      <c r="H128" s="22">
        <v>1</v>
      </c>
      <c r="I128" s="22" t="s">
        <v>18</v>
      </c>
      <c r="J128" s="1" t="s">
        <v>18</v>
      </c>
      <c r="K128" s="15">
        <v>2003</v>
      </c>
      <c r="L128" s="41" t="s">
        <v>382</v>
      </c>
      <c r="M128" s="227">
        <f>4*62</f>
        <v>248</v>
      </c>
      <c r="N128" s="151">
        <v>0</v>
      </c>
      <c r="O128" s="165">
        <v>0</v>
      </c>
    </row>
    <row r="129" spans="1:15" ht="15" customHeight="1">
      <c r="A129" s="797"/>
      <c r="B129" s="797"/>
      <c r="C129" s="798"/>
      <c r="D129" s="22">
        <v>1</v>
      </c>
      <c r="E129" s="22">
        <v>1</v>
      </c>
      <c r="F129" s="22"/>
      <c r="G129" s="22"/>
      <c r="H129" s="22">
        <v>1</v>
      </c>
      <c r="I129" s="22" t="s">
        <v>212</v>
      </c>
      <c r="J129" s="222" t="s">
        <v>18</v>
      </c>
      <c r="K129" s="15">
        <v>2006</v>
      </c>
      <c r="L129" s="41" t="s">
        <v>382</v>
      </c>
      <c r="M129" s="227">
        <f>4*48</f>
        <v>192</v>
      </c>
      <c r="N129" s="151">
        <v>0</v>
      </c>
      <c r="O129" s="165">
        <v>0</v>
      </c>
    </row>
    <row r="130" spans="1:15" ht="15" customHeight="1">
      <c r="A130" s="769" t="s">
        <v>442</v>
      </c>
      <c r="B130" s="22"/>
      <c r="C130" s="222"/>
      <c r="D130" s="22"/>
      <c r="E130" s="22"/>
      <c r="F130" s="22"/>
      <c r="G130" s="22"/>
      <c r="H130" s="22"/>
      <c r="I130" s="22"/>
      <c r="J130" s="222"/>
      <c r="K130" s="15"/>
      <c r="L130" s="118"/>
      <c r="M130" s="227">
        <f>5979.32-6116</f>
        <v>-136.6800000000003</v>
      </c>
      <c r="N130" s="151"/>
      <c r="O130" s="165"/>
    </row>
    <row r="131" spans="1:18" ht="15" customHeight="1">
      <c r="A131" s="1053" t="s">
        <v>328</v>
      </c>
      <c r="B131" s="1053"/>
      <c r="C131" s="113"/>
      <c r="D131" s="113">
        <f>SUM(D70:D129)</f>
        <v>60</v>
      </c>
      <c r="E131" s="113">
        <f>SUM(E70:E129)</f>
        <v>35</v>
      </c>
      <c r="F131" s="113">
        <f>SUM(F70:F129)</f>
        <v>25</v>
      </c>
      <c r="G131" s="113">
        <f>SUM(G70:G129)</f>
        <v>28</v>
      </c>
      <c r="H131" s="113">
        <f>SUM(H70:H129)</f>
        <v>32</v>
      </c>
      <c r="I131" s="113"/>
      <c r="J131" s="113"/>
      <c r="K131" s="113"/>
      <c r="L131" s="113"/>
      <c r="M131" s="228">
        <f>SUM(M70:M130)</f>
        <v>5979.32</v>
      </c>
      <c r="N131" s="163">
        <f>0</f>
        <v>0</v>
      </c>
      <c r="O131" s="163">
        <f>SUM(O74:O127)</f>
        <v>10730</v>
      </c>
      <c r="R131" s="71"/>
    </row>
    <row r="132" spans="1:15" ht="15" customHeight="1">
      <c r="A132" s="1039" t="s">
        <v>227</v>
      </c>
      <c r="B132" s="1039"/>
      <c r="C132" s="112"/>
      <c r="D132" s="112">
        <f>D47+D54+D67+D131</f>
        <v>101</v>
      </c>
      <c r="E132" s="112">
        <f>E47+E54+E67+E131</f>
        <v>64</v>
      </c>
      <c r="F132" s="112">
        <f>F47+F54+F67+F131</f>
        <v>37</v>
      </c>
      <c r="G132" s="112">
        <f>G47+G54+G67+G131</f>
        <v>49</v>
      </c>
      <c r="H132" s="112">
        <f>H47+H54+H67+H131</f>
        <v>52</v>
      </c>
      <c r="I132" s="112"/>
      <c r="J132" s="112"/>
      <c r="K132" s="112"/>
      <c r="L132" s="112"/>
      <c r="M132" s="220">
        <f>M67+M47+M54+M131</f>
        <v>18856.32</v>
      </c>
      <c r="N132" s="220">
        <f>N67+N47+N54+N131</f>
        <v>1193</v>
      </c>
      <c r="O132" s="220">
        <f>O67+O47+O54+O131</f>
        <v>10910</v>
      </c>
    </row>
    <row r="135" ht="12.75">
      <c r="M135" s="229"/>
    </row>
    <row r="136" spans="13:15" ht="12.75">
      <c r="M136" s="229"/>
      <c r="N136" s="497"/>
      <c r="O136" s="230"/>
    </row>
    <row r="137" ht="12.75">
      <c r="M137" s="229"/>
    </row>
    <row r="138" ht="12.75">
      <c r="O138" s="230"/>
    </row>
    <row r="144" ht="12.75">
      <c r="M144" s="229"/>
    </row>
  </sheetData>
  <mergeCells count="21">
    <mergeCell ref="A63:B63"/>
    <mergeCell ref="A48:B48"/>
    <mergeCell ref="A50:B50"/>
    <mergeCell ref="A55:B55"/>
    <mergeCell ref="A57:B57"/>
    <mergeCell ref="A68:B68"/>
    <mergeCell ref="A131:B131"/>
    <mergeCell ref="A132:B132"/>
    <mergeCell ref="A51:B51"/>
    <mergeCell ref="A54:B54"/>
    <mergeCell ref="A64:B64"/>
    <mergeCell ref="A67:B67"/>
    <mergeCell ref="A58:B58"/>
    <mergeCell ref="A60:B60"/>
    <mergeCell ref="A61:B61"/>
    <mergeCell ref="A2:O2"/>
    <mergeCell ref="A1:N1"/>
    <mergeCell ref="A6:B6"/>
    <mergeCell ref="A47:B47"/>
    <mergeCell ref="A3:B3"/>
    <mergeCell ref="A5:B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W129"/>
  <sheetViews>
    <sheetView workbookViewId="0" topLeftCell="A1">
      <selection activeCell="G131" sqref="G131"/>
    </sheetView>
  </sheetViews>
  <sheetFormatPr defaultColWidth="9.140625" defaultRowHeight="12.75"/>
  <cols>
    <col min="1" max="3" width="20.7109375" style="24" customWidth="1"/>
    <col min="4" max="4" width="7.57421875" style="81" customWidth="1"/>
    <col min="5" max="6" width="5.7109375" style="24" customWidth="1"/>
    <col min="7" max="8" width="9.7109375" style="24" customWidth="1"/>
    <col min="9" max="10" width="13.7109375" style="24" customWidth="1"/>
    <col min="11" max="11" width="10.140625" style="24" customWidth="1"/>
    <col min="12" max="12" width="14.7109375" style="24" customWidth="1"/>
    <col min="13" max="14" width="18.7109375" style="168" customWidth="1"/>
    <col min="15" max="16384" width="11.57421875" style="54" customWidth="1"/>
  </cols>
  <sheetData>
    <row r="1" spans="1:14" s="48" customFormat="1" ht="30" customHeight="1">
      <c r="A1" s="1007" t="s">
        <v>365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458">
        <v>40071156</v>
      </c>
    </row>
    <row r="2" spans="1:14" s="74" customFormat="1" ht="40.5" customHeight="1">
      <c r="A2" s="1041" t="s">
        <v>412</v>
      </c>
      <c r="B2" s="1042"/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1054"/>
      <c r="N2" s="1055"/>
    </row>
    <row r="3" spans="1:14" ht="15" customHeight="1">
      <c r="A3" s="1056" t="s">
        <v>66</v>
      </c>
      <c r="B3" s="1057"/>
      <c r="C3" s="273"/>
      <c r="D3" s="248"/>
      <c r="E3" s="231"/>
      <c r="F3" s="231"/>
      <c r="G3" s="117"/>
      <c r="H3" s="117"/>
      <c r="I3" s="117"/>
      <c r="J3" s="231"/>
      <c r="K3" s="232"/>
      <c r="L3" s="39"/>
      <c r="M3" s="117"/>
      <c r="N3" s="117"/>
    </row>
    <row r="4" spans="1:14" s="50" customFormat="1" ht="48" customHeight="1">
      <c r="A4" s="39" t="s">
        <v>332</v>
      </c>
      <c r="B4" s="39" t="s">
        <v>333</v>
      </c>
      <c r="C4" s="39" t="s">
        <v>213</v>
      </c>
      <c r="D4" s="249" t="s">
        <v>36</v>
      </c>
      <c r="E4" s="115" t="s">
        <v>73</v>
      </c>
      <c r="F4" s="115" t="s">
        <v>74</v>
      </c>
      <c r="G4" s="115" t="s">
        <v>37</v>
      </c>
      <c r="H4" s="115" t="s">
        <v>38</v>
      </c>
      <c r="I4" s="39" t="s">
        <v>15</v>
      </c>
      <c r="J4" s="115" t="s">
        <v>214</v>
      </c>
      <c r="K4" s="115" t="s">
        <v>39</v>
      </c>
      <c r="L4" s="115" t="s">
        <v>62</v>
      </c>
      <c r="M4" s="130" t="s">
        <v>124</v>
      </c>
      <c r="N4" s="130" t="s">
        <v>383</v>
      </c>
    </row>
    <row r="5" spans="1:14" s="80" customFormat="1" ht="15" customHeight="1">
      <c r="A5" s="791"/>
      <c r="B5" s="791"/>
      <c r="C5" s="800"/>
      <c r="D5" s="77">
        <v>1</v>
      </c>
      <c r="E5" s="22"/>
      <c r="F5" s="22">
        <v>1</v>
      </c>
      <c r="G5" s="22"/>
      <c r="H5" s="22">
        <v>1</v>
      </c>
      <c r="I5" s="22" t="s">
        <v>212</v>
      </c>
      <c r="J5" s="22" t="s">
        <v>77</v>
      </c>
      <c r="K5" s="22">
        <v>2006</v>
      </c>
      <c r="L5" s="22">
        <v>5</v>
      </c>
      <c r="M5" s="145">
        <f>L5*10</f>
        <v>50</v>
      </c>
      <c r="N5" s="145">
        <f>L5*9.792</f>
        <v>48.96</v>
      </c>
    </row>
    <row r="6" spans="1:14" s="80" customFormat="1" ht="15" customHeight="1">
      <c r="A6" s="791"/>
      <c r="B6" s="791"/>
      <c r="C6" s="800"/>
      <c r="D6" s="77">
        <v>1</v>
      </c>
      <c r="E6" s="380">
        <v>1</v>
      </c>
      <c r="F6" s="380"/>
      <c r="G6" s="380"/>
      <c r="H6" s="380">
        <v>1</v>
      </c>
      <c r="I6" s="469" t="s">
        <v>212</v>
      </c>
      <c r="J6" s="469" t="s">
        <v>18</v>
      </c>
      <c r="K6" s="22">
        <v>2006</v>
      </c>
      <c r="L6" s="22">
        <v>5</v>
      </c>
      <c r="M6" s="145">
        <f>L6*10</f>
        <v>50</v>
      </c>
      <c r="N6" s="145">
        <f>L6*9.792</f>
        <v>48.96</v>
      </c>
    </row>
    <row r="7" spans="1:14" s="80" customFormat="1" ht="15" customHeight="1">
      <c r="A7" s="791"/>
      <c r="B7" s="791"/>
      <c r="C7" s="800"/>
      <c r="D7" s="77">
        <v>1</v>
      </c>
      <c r="E7" s="380">
        <v>1</v>
      </c>
      <c r="F7" s="380"/>
      <c r="G7" s="380"/>
      <c r="H7" s="380">
        <v>1</v>
      </c>
      <c r="I7" s="469" t="s">
        <v>212</v>
      </c>
      <c r="J7" s="469" t="s">
        <v>342</v>
      </c>
      <c r="K7" s="1">
        <v>2008</v>
      </c>
      <c r="L7" s="22">
        <v>5</v>
      </c>
      <c r="M7" s="145">
        <f>L7*10</f>
        <v>50</v>
      </c>
      <c r="N7" s="145">
        <f>L7*9.792</f>
        <v>48.96</v>
      </c>
    </row>
    <row r="8" spans="1:14" s="64" customFormat="1" ht="15" customHeight="1">
      <c r="A8" s="1036" t="s">
        <v>75</v>
      </c>
      <c r="B8" s="1036"/>
      <c r="C8" s="109"/>
      <c r="D8" s="120">
        <f>SUM(D5:D7)</f>
        <v>3</v>
      </c>
      <c r="E8" s="120">
        <f>SUM(E5:E7)</f>
        <v>2</v>
      </c>
      <c r="F8" s="120">
        <f>SUM(F5:F7)</f>
        <v>1</v>
      </c>
      <c r="G8" s="120">
        <f>SUM(G5:G7)</f>
        <v>0</v>
      </c>
      <c r="H8" s="120">
        <f>SUM(H5:H7)</f>
        <v>3</v>
      </c>
      <c r="I8" s="109"/>
      <c r="J8" s="109"/>
      <c r="K8" s="109"/>
      <c r="L8" s="120">
        <f>SUM(L5:L7)</f>
        <v>15</v>
      </c>
      <c r="M8" s="149">
        <f>SUM(M5:M7)</f>
        <v>150</v>
      </c>
      <c r="N8" s="149">
        <f>SUM(N5:N7)</f>
        <v>146.88</v>
      </c>
    </row>
    <row r="9" spans="1:14" s="51" customFormat="1" ht="15" customHeight="1">
      <c r="A9" s="1047" t="s">
        <v>64</v>
      </c>
      <c r="B9" s="1047"/>
      <c r="C9" s="31"/>
      <c r="D9" s="592"/>
      <c r="E9" s="31"/>
      <c r="F9" s="31"/>
      <c r="G9" s="31"/>
      <c r="H9" s="31"/>
      <c r="I9" s="31"/>
      <c r="J9" s="31"/>
      <c r="K9" s="31"/>
      <c r="L9" s="31"/>
      <c r="M9" s="164"/>
      <c r="N9" s="164"/>
    </row>
    <row r="10" spans="1:14" s="50" customFormat="1" ht="48" customHeight="1">
      <c r="A10" s="39" t="s">
        <v>332</v>
      </c>
      <c r="B10" s="39" t="s">
        <v>333</v>
      </c>
      <c r="C10" s="39" t="s">
        <v>213</v>
      </c>
      <c r="D10" s="249" t="s">
        <v>36</v>
      </c>
      <c r="E10" s="115" t="s">
        <v>73</v>
      </c>
      <c r="F10" s="115" t="s">
        <v>74</v>
      </c>
      <c r="G10" s="115" t="s">
        <v>37</v>
      </c>
      <c r="H10" s="115" t="s">
        <v>38</v>
      </c>
      <c r="I10" s="39" t="s">
        <v>15</v>
      </c>
      <c r="J10" s="115" t="s">
        <v>214</v>
      </c>
      <c r="K10" s="115" t="s">
        <v>39</v>
      </c>
      <c r="L10" s="115" t="s">
        <v>62</v>
      </c>
      <c r="M10" s="68" t="s">
        <v>124</v>
      </c>
      <c r="N10" s="68" t="s">
        <v>383</v>
      </c>
    </row>
    <row r="11" spans="1:14" s="80" customFormat="1" ht="15" customHeight="1">
      <c r="A11" s="791"/>
      <c r="B11" s="791"/>
      <c r="C11" s="790"/>
      <c r="D11" s="77">
        <v>1</v>
      </c>
      <c r="E11" s="22"/>
      <c r="F11" s="22">
        <v>1</v>
      </c>
      <c r="G11" s="22"/>
      <c r="H11" s="22">
        <v>1</v>
      </c>
      <c r="I11" s="22" t="s">
        <v>212</v>
      </c>
      <c r="J11" s="15" t="s">
        <v>496</v>
      </c>
      <c r="K11" s="22">
        <v>2002</v>
      </c>
      <c r="L11" s="22">
        <v>5</v>
      </c>
      <c r="M11" s="145">
        <f aca="true" t="shared" si="0" ref="M11:M20">L11*10</f>
        <v>50</v>
      </c>
      <c r="N11" s="145">
        <f aca="true" t="shared" si="1" ref="N11:N50">L11*9.792</f>
        <v>48.96</v>
      </c>
    </row>
    <row r="12" spans="1:14" s="80" customFormat="1" ht="15" customHeight="1">
      <c r="A12" s="791"/>
      <c r="B12" s="791"/>
      <c r="C12" s="790"/>
      <c r="D12" s="77">
        <v>1</v>
      </c>
      <c r="E12" s="22"/>
      <c r="F12" s="22">
        <v>1</v>
      </c>
      <c r="G12" s="22"/>
      <c r="H12" s="22">
        <v>1</v>
      </c>
      <c r="I12" s="22" t="s">
        <v>31</v>
      </c>
      <c r="J12" s="15" t="s">
        <v>496</v>
      </c>
      <c r="K12" s="22">
        <v>1997</v>
      </c>
      <c r="L12" s="22">
        <v>13</v>
      </c>
      <c r="M12" s="145">
        <f t="shared" si="0"/>
        <v>130</v>
      </c>
      <c r="N12" s="145">
        <f t="shared" si="1"/>
        <v>127.29599999999999</v>
      </c>
    </row>
    <row r="13" spans="1:14" s="80" customFormat="1" ht="15" customHeight="1">
      <c r="A13" s="791"/>
      <c r="B13" s="791"/>
      <c r="C13" s="790"/>
      <c r="D13" s="77">
        <v>1</v>
      </c>
      <c r="E13" s="22">
        <v>1</v>
      </c>
      <c r="F13" s="22"/>
      <c r="G13" s="22"/>
      <c r="H13" s="22">
        <v>1</v>
      </c>
      <c r="I13" s="22" t="s">
        <v>212</v>
      </c>
      <c r="J13" s="22" t="s">
        <v>496</v>
      </c>
      <c r="K13" s="22">
        <v>2012</v>
      </c>
      <c r="L13" s="22">
        <v>3</v>
      </c>
      <c r="M13" s="145">
        <f t="shared" si="0"/>
        <v>30</v>
      </c>
      <c r="N13" s="145">
        <f t="shared" si="1"/>
        <v>29.375999999999998</v>
      </c>
    </row>
    <row r="14" spans="1:14" s="80" customFormat="1" ht="15" customHeight="1">
      <c r="A14" s="791"/>
      <c r="B14" s="791"/>
      <c r="C14" s="790"/>
      <c r="D14" s="77">
        <v>1</v>
      </c>
      <c r="E14" s="22">
        <v>1</v>
      </c>
      <c r="F14" s="22"/>
      <c r="G14" s="22"/>
      <c r="H14" s="22">
        <v>1</v>
      </c>
      <c r="I14" s="22" t="s">
        <v>212</v>
      </c>
      <c r="J14" s="22" t="s">
        <v>496</v>
      </c>
      <c r="K14" s="22">
        <v>2010</v>
      </c>
      <c r="L14" s="22">
        <v>3</v>
      </c>
      <c r="M14" s="145">
        <f t="shared" si="0"/>
        <v>30</v>
      </c>
      <c r="N14" s="145">
        <f t="shared" si="1"/>
        <v>29.375999999999998</v>
      </c>
    </row>
    <row r="15" spans="1:14" s="80" customFormat="1" ht="14.25" customHeight="1">
      <c r="A15" s="791"/>
      <c r="B15" s="791"/>
      <c r="C15" s="790"/>
      <c r="D15" s="77">
        <v>1</v>
      </c>
      <c r="E15" s="22"/>
      <c r="F15" s="22">
        <v>1</v>
      </c>
      <c r="G15" s="22"/>
      <c r="H15" s="22">
        <v>1</v>
      </c>
      <c r="I15" s="22" t="s">
        <v>496</v>
      </c>
      <c r="J15" s="22" t="s">
        <v>496</v>
      </c>
      <c r="K15" s="22">
        <v>1994</v>
      </c>
      <c r="L15" s="22">
        <v>4</v>
      </c>
      <c r="M15" s="145">
        <f t="shared" si="0"/>
        <v>40</v>
      </c>
      <c r="N15" s="145">
        <f t="shared" si="1"/>
        <v>39.168</v>
      </c>
    </row>
    <row r="16" spans="1:14" s="80" customFormat="1" ht="15" customHeight="1">
      <c r="A16" s="791"/>
      <c r="B16" s="791"/>
      <c r="C16" s="790"/>
      <c r="D16" s="77">
        <v>1</v>
      </c>
      <c r="E16" s="22"/>
      <c r="F16" s="22">
        <v>1</v>
      </c>
      <c r="G16" s="22"/>
      <c r="H16" s="22">
        <v>1</v>
      </c>
      <c r="I16" s="22" t="s">
        <v>212</v>
      </c>
      <c r="J16" s="22" t="s">
        <v>130</v>
      </c>
      <c r="K16" s="22">
        <v>2004</v>
      </c>
      <c r="L16" s="22">
        <v>13</v>
      </c>
      <c r="M16" s="145">
        <f t="shared" si="0"/>
        <v>130</v>
      </c>
      <c r="N16" s="145">
        <f t="shared" si="1"/>
        <v>127.29599999999999</v>
      </c>
    </row>
    <row r="17" spans="1:14" s="80" customFormat="1" ht="15" customHeight="1">
      <c r="A17" s="791"/>
      <c r="B17" s="791"/>
      <c r="C17" s="790"/>
      <c r="D17" s="77">
        <v>1</v>
      </c>
      <c r="E17" s="22">
        <v>1</v>
      </c>
      <c r="F17" s="22"/>
      <c r="G17" s="22"/>
      <c r="H17" s="22">
        <v>1</v>
      </c>
      <c r="I17" s="22" t="s">
        <v>212</v>
      </c>
      <c r="J17" s="22" t="s">
        <v>18</v>
      </c>
      <c r="K17" s="22">
        <v>2010</v>
      </c>
      <c r="L17" s="22">
        <v>14</v>
      </c>
      <c r="M17" s="145">
        <f t="shared" si="0"/>
        <v>140</v>
      </c>
      <c r="N17" s="145">
        <f t="shared" si="1"/>
        <v>137.088</v>
      </c>
    </row>
    <row r="18" spans="1:14" s="80" customFormat="1" ht="15" customHeight="1">
      <c r="A18" s="791"/>
      <c r="B18" s="791"/>
      <c r="C18" s="790"/>
      <c r="D18" s="77">
        <v>1</v>
      </c>
      <c r="E18" s="22">
        <v>1</v>
      </c>
      <c r="F18" s="22"/>
      <c r="G18" s="22">
        <v>1</v>
      </c>
      <c r="H18" s="22"/>
      <c r="I18" s="22" t="s">
        <v>212</v>
      </c>
      <c r="J18" s="22" t="s">
        <v>212</v>
      </c>
      <c r="K18" s="22">
        <v>2004</v>
      </c>
      <c r="L18" s="22">
        <v>6</v>
      </c>
      <c r="M18" s="145">
        <f t="shared" si="0"/>
        <v>60</v>
      </c>
      <c r="N18" s="145">
        <f t="shared" si="1"/>
        <v>58.751999999999995</v>
      </c>
    </row>
    <row r="19" spans="1:14" s="80" customFormat="1" ht="15" customHeight="1">
      <c r="A19" s="791"/>
      <c r="B19" s="791"/>
      <c r="C19" s="790"/>
      <c r="D19" s="77">
        <v>1</v>
      </c>
      <c r="E19" s="22"/>
      <c r="F19" s="22">
        <v>1</v>
      </c>
      <c r="G19" s="22"/>
      <c r="H19" s="22">
        <v>1</v>
      </c>
      <c r="I19" s="22" t="s">
        <v>384</v>
      </c>
      <c r="J19" s="22" t="s">
        <v>384</v>
      </c>
      <c r="K19" s="22">
        <v>1967</v>
      </c>
      <c r="L19" s="22">
        <v>68</v>
      </c>
      <c r="M19" s="145">
        <f t="shared" si="0"/>
        <v>680</v>
      </c>
      <c r="N19" s="145">
        <f t="shared" si="1"/>
        <v>665.856</v>
      </c>
    </row>
    <row r="20" spans="1:14" s="80" customFormat="1" ht="15" customHeight="1">
      <c r="A20" s="791"/>
      <c r="B20" s="791"/>
      <c r="C20" s="790"/>
      <c r="D20" s="77">
        <v>1</v>
      </c>
      <c r="E20" s="22">
        <v>1</v>
      </c>
      <c r="F20" s="22"/>
      <c r="G20" s="22">
        <v>1</v>
      </c>
      <c r="H20" s="22"/>
      <c r="I20" s="22" t="s">
        <v>212</v>
      </c>
      <c r="J20" s="22" t="s">
        <v>385</v>
      </c>
      <c r="K20" s="22">
        <v>2006</v>
      </c>
      <c r="L20" s="22">
        <v>4</v>
      </c>
      <c r="M20" s="145">
        <f t="shared" si="0"/>
        <v>40</v>
      </c>
      <c r="N20" s="145">
        <f t="shared" si="1"/>
        <v>39.168</v>
      </c>
    </row>
    <row r="21" spans="1:14" s="80" customFormat="1" ht="15" customHeight="1">
      <c r="A21" s="791"/>
      <c r="B21" s="791"/>
      <c r="C21" s="790"/>
      <c r="D21" s="77">
        <v>1</v>
      </c>
      <c r="E21" s="22">
        <v>1</v>
      </c>
      <c r="F21" s="22"/>
      <c r="G21" s="22"/>
      <c r="H21" s="22">
        <v>1</v>
      </c>
      <c r="I21" s="22" t="s">
        <v>212</v>
      </c>
      <c r="J21" s="22" t="s">
        <v>343</v>
      </c>
      <c r="K21" s="22">
        <v>2007</v>
      </c>
      <c r="L21" s="22">
        <v>9</v>
      </c>
      <c r="M21" s="145">
        <v>90</v>
      </c>
      <c r="N21" s="145">
        <f t="shared" si="1"/>
        <v>88.128</v>
      </c>
    </row>
    <row r="22" spans="1:14" s="80" customFormat="1" ht="15" customHeight="1">
      <c r="A22" s="791"/>
      <c r="B22" s="791"/>
      <c r="C22" s="790"/>
      <c r="D22" s="77">
        <v>1</v>
      </c>
      <c r="E22" s="22"/>
      <c r="F22" s="22">
        <v>1</v>
      </c>
      <c r="G22" s="22">
        <v>1</v>
      </c>
      <c r="H22" s="22"/>
      <c r="I22" s="22" t="s">
        <v>212</v>
      </c>
      <c r="J22" s="22" t="s">
        <v>212</v>
      </c>
      <c r="K22" s="22">
        <v>2005</v>
      </c>
      <c r="L22" s="22">
        <v>3</v>
      </c>
      <c r="M22" s="145">
        <f aca="true" t="shared" si="2" ref="M22:M50">L22*10</f>
        <v>30</v>
      </c>
      <c r="N22" s="145">
        <f t="shared" si="1"/>
        <v>29.375999999999998</v>
      </c>
    </row>
    <row r="23" spans="1:14" s="80" customFormat="1" ht="15" customHeight="1">
      <c r="A23" s="791"/>
      <c r="B23" s="791"/>
      <c r="C23" s="790"/>
      <c r="D23" s="77">
        <v>1</v>
      </c>
      <c r="E23" s="22"/>
      <c r="F23" s="22">
        <v>1</v>
      </c>
      <c r="G23" s="22">
        <v>1</v>
      </c>
      <c r="H23" s="22"/>
      <c r="I23" s="22" t="s">
        <v>131</v>
      </c>
      <c r="J23" s="22" t="s">
        <v>212</v>
      </c>
      <c r="K23" s="22">
        <v>2000</v>
      </c>
      <c r="L23" s="22">
        <v>8</v>
      </c>
      <c r="M23" s="145">
        <f t="shared" si="2"/>
        <v>80</v>
      </c>
      <c r="N23" s="145">
        <f t="shared" si="1"/>
        <v>78.336</v>
      </c>
    </row>
    <row r="24" spans="1:14" s="80" customFormat="1" ht="15" customHeight="1">
      <c r="A24" s="791"/>
      <c r="B24" s="791"/>
      <c r="C24" s="790"/>
      <c r="D24" s="77">
        <v>1</v>
      </c>
      <c r="E24" s="22"/>
      <c r="F24" s="22">
        <v>1</v>
      </c>
      <c r="G24" s="22"/>
      <c r="H24" s="22">
        <v>1</v>
      </c>
      <c r="I24" s="22" t="s">
        <v>395</v>
      </c>
      <c r="J24" s="22" t="s">
        <v>395</v>
      </c>
      <c r="K24" s="22">
        <v>1998</v>
      </c>
      <c r="L24" s="22">
        <v>5</v>
      </c>
      <c r="M24" s="145">
        <f t="shared" si="2"/>
        <v>50</v>
      </c>
      <c r="N24" s="145">
        <f t="shared" si="1"/>
        <v>48.96</v>
      </c>
    </row>
    <row r="25" spans="1:14" s="80" customFormat="1" ht="15" customHeight="1">
      <c r="A25" s="791"/>
      <c r="B25" s="791"/>
      <c r="C25" s="790"/>
      <c r="D25" s="77">
        <v>1</v>
      </c>
      <c r="E25" s="22"/>
      <c r="F25" s="22">
        <v>1</v>
      </c>
      <c r="G25" s="22"/>
      <c r="H25" s="22">
        <v>1</v>
      </c>
      <c r="I25" s="22" t="s">
        <v>212</v>
      </c>
      <c r="J25" s="22" t="s">
        <v>343</v>
      </c>
      <c r="K25" s="22">
        <v>2012</v>
      </c>
      <c r="L25" s="22">
        <v>5</v>
      </c>
      <c r="M25" s="145">
        <f t="shared" si="2"/>
        <v>50</v>
      </c>
      <c r="N25" s="145">
        <f t="shared" si="1"/>
        <v>48.96</v>
      </c>
    </row>
    <row r="26" spans="1:14" s="80" customFormat="1" ht="15" customHeight="1">
      <c r="A26" s="791"/>
      <c r="B26" s="791"/>
      <c r="C26" s="790"/>
      <c r="D26" s="77">
        <v>1</v>
      </c>
      <c r="E26" s="22"/>
      <c r="F26" s="22">
        <v>1</v>
      </c>
      <c r="G26" s="22"/>
      <c r="H26" s="22">
        <v>1</v>
      </c>
      <c r="I26" s="22" t="s">
        <v>212</v>
      </c>
      <c r="J26" s="22" t="s">
        <v>343</v>
      </c>
      <c r="K26" s="22">
        <v>2008</v>
      </c>
      <c r="L26" s="22">
        <v>3</v>
      </c>
      <c r="M26" s="145">
        <f t="shared" si="2"/>
        <v>30</v>
      </c>
      <c r="N26" s="145">
        <f t="shared" si="1"/>
        <v>29.375999999999998</v>
      </c>
    </row>
    <row r="27" spans="1:14" s="80" customFormat="1" ht="15" customHeight="1">
      <c r="A27" s="791"/>
      <c r="B27" s="791"/>
      <c r="C27" s="790"/>
      <c r="D27" s="77">
        <v>1</v>
      </c>
      <c r="E27" s="22"/>
      <c r="F27" s="22">
        <v>1</v>
      </c>
      <c r="G27" s="22"/>
      <c r="H27" s="22">
        <v>1</v>
      </c>
      <c r="I27" s="22" t="s">
        <v>212</v>
      </c>
      <c r="J27" s="22" t="s">
        <v>16</v>
      </c>
      <c r="K27" s="22">
        <v>2002</v>
      </c>
      <c r="L27" s="22">
        <v>5</v>
      </c>
      <c r="M27" s="145">
        <f t="shared" si="2"/>
        <v>50</v>
      </c>
      <c r="N27" s="145">
        <f t="shared" si="1"/>
        <v>48.96</v>
      </c>
    </row>
    <row r="28" spans="1:14" s="80" customFormat="1" ht="15" customHeight="1">
      <c r="A28" s="791"/>
      <c r="B28" s="791"/>
      <c r="C28" s="790"/>
      <c r="D28" s="77">
        <v>1</v>
      </c>
      <c r="E28" s="22">
        <v>1</v>
      </c>
      <c r="F28" s="22"/>
      <c r="G28" s="22"/>
      <c r="H28" s="22">
        <v>1</v>
      </c>
      <c r="I28" s="22" t="s">
        <v>212</v>
      </c>
      <c r="J28" s="22" t="s">
        <v>18</v>
      </c>
      <c r="K28" s="22">
        <v>2008</v>
      </c>
      <c r="L28" s="22">
        <v>4</v>
      </c>
      <c r="M28" s="145">
        <f t="shared" si="2"/>
        <v>40</v>
      </c>
      <c r="N28" s="145">
        <f t="shared" si="1"/>
        <v>39.168</v>
      </c>
    </row>
    <row r="29" spans="1:14" s="80" customFormat="1" ht="15" customHeight="1">
      <c r="A29" s="791"/>
      <c r="B29" s="791"/>
      <c r="C29" s="790"/>
      <c r="D29" s="77">
        <v>1</v>
      </c>
      <c r="E29" s="22">
        <v>1</v>
      </c>
      <c r="F29" s="22"/>
      <c r="G29" s="22"/>
      <c r="H29" s="22">
        <v>1</v>
      </c>
      <c r="I29" s="22" t="s">
        <v>16</v>
      </c>
      <c r="J29" s="15" t="s">
        <v>16</v>
      </c>
      <c r="K29" s="22">
        <v>1996</v>
      </c>
      <c r="L29" s="22">
        <v>3</v>
      </c>
      <c r="M29" s="145">
        <f t="shared" si="2"/>
        <v>30</v>
      </c>
      <c r="N29" s="145">
        <f t="shared" si="1"/>
        <v>29.375999999999998</v>
      </c>
    </row>
    <row r="30" spans="1:14" s="80" customFormat="1" ht="15" customHeight="1">
      <c r="A30" s="791"/>
      <c r="B30" s="791"/>
      <c r="C30" s="790"/>
      <c r="D30" s="77">
        <v>1</v>
      </c>
      <c r="E30" s="22"/>
      <c r="F30" s="22">
        <v>1</v>
      </c>
      <c r="G30" s="22"/>
      <c r="H30" s="22">
        <v>1</v>
      </c>
      <c r="I30" s="22" t="s">
        <v>212</v>
      </c>
      <c r="J30" s="15" t="s">
        <v>33</v>
      </c>
      <c r="K30" s="22">
        <v>2011</v>
      </c>
      <c r="L30" s="22">
        <v>2</v>
      </c>
      <c r="M30" s="145">
        <f t="shared" si="2"/>
        <v>20</v>
      </c>
      <c r="N30" s="145">
        <f t="shared" si="1"/>
        <v>19.584</v>
      </c>
    </row>
    <row r="31" spans="1:14" s="80" customFormat="1" ht="15.75" customHeight="1">
      <c r="A31" s="791"/>
      <c r="B31" s="791"/>
      <c r="C31" s="790"/>
      <c r="D31" s="77">
        <v>1</v>
      </c>
      <c r="E31" s="22"/>
      <c r="F31" s="22">
        <v>1</v>
      </c>
      <c r="G31" s="22"/>
      <c r="H31" s="22">
        <v>1</v>
      </c>
      <c r="I31" s="22" t="s">
        <v>212</v>
      </c>
      <c r="J31" s="22" t="s">
        <v>31</v>
      </c>
      <c r="K31" s="22">
        <v>2001</v>
      </c>
      <c r="L31" s="22">
        <v>10</v>
      </c>
      <c r="M31" s="145">
        <f t="shared" si="2"/>
        <v>100</v>
      </c>
      <c r="N31" s="145">
        <f t="shared" si="1"/>
        <v>97.92</v>
      </c>
    </row>
    <row r="32" spans="1:14" s="80" customFormat="1" ht="15" customHeight="1">
      <c r="A32" s="791"/>
      <c r="B32" s="791"/>
      <c r="C32" s="790"/>
      <c r="D32" s="77">
        <v>1</v>
      </c>
      <c r="E32" s="22">
        <v>1</v>
      </c>
      <c r="F32" s="22"/>
      <c r="G32" s="22">
        <v>1</v>
      </c>
      <c r="H32" s="22"/>
      <c r="I32" s="22" t="s">
        <v>212</v>
      </c>
      <c r="J32" s="22" t="s">
        <v>212</v>
      </c>
      <c r="K32" s="22">
        <v>2006</v>
      </c>
      <c r="L32" s="22">
        <v>5</v>
      </c>
      <c r="M32" s="145">
        <f t="shared" si="2"/>
        <v>50</v>
      </c>
      <c r="N32" s="145">
        <f t="shared" si="1"/>
        <v>48.96</v>
      </c>
    </row>
    <row r="33" spans="1:14" s="80" customFormat="1" ht="15" customHeight="1">
      <c r="A33" s="791"/>
      <c r="B33" s="791"/>
      <c r="C33" s="790"/>
      <c r="D33" s="77">
        <v>1</v>
      </c>
      <c r="E33" s="22"/>
      <c r="F33" s="22">
        <v>1</v>
      </c>
      <c r="G33" s="22"/>
      <c r="H33" s="22">
        <v>1</v>
      </c>
      <c r="I33" s="22" t="s">
        <v>327</v>
      </c>
      <c r="J33" s="15" t="s">
        <v>327</v>
      </c>
      <c r="K33" s="22">
        <v>1996</v>
      </c>
      <c r="L33" s="22">
        <v>10</v>
      </c>
      <c r="M33" s="145">
        <f t="shared" si="2"/>
        <v>100</v>
      </c>
      <c r="N33" s="145">
        <f t="shared" si="1"/>
        <v>97.92</v>
      </c>
    </row>
    <row r="34" spans="1:14" s="80" customFormat="1" ht="15" customHeight="1">
      <c r="A34" s="791"/>
      <c r="B34" s="791"/>
      <c r="C34" s="790"/>
      <c r="D34" s="77">
        <v>1</v>
      </c>
      <c r="E34" s="22">
        <v>1</v>
      </c>
      <c r="F34" s="22"/>
      <c r="G34" s="22">
        <v>1</v>
      </c>
      <c r="H34" s="22"/>
      <c r="I34" s="22" t="s">
        <v>212</v>
      </c>
      <c r="J34" s="15" t="s">
        <v>212</v>
      </c>
      <c r="K34" s="22">
        <v>2001</v>
      </c>
      <c r="L34" s="22">
        <v>4</v>
      </c>
      <c r="M34" s="145">
        <f t="shared" si="2"/>
        <v>40</v>
      </c>
      <c r="N34" s="145">
        <f t="shared" si="1"/>
        <v>39.168</v>
      </c>
    </row>
    <row r="35" spans="1:14" s="80" customFormat="1" ht="15" customHeight="1">
      <c r="A35" s="791"/>
      <c r="B35" s="791"/>
      <c r="C35" s="790"/>
      <c r="D35" s="77">
        <v>1</v>
      </c>
      <c r="E35" s="22"/>
      <c r="F35" s="22">
        <v>1</v>
      </c>
      <c r="G35" s="22">
        <v>1</v>
      </c>
      <c r="H35" s="22"/>
      <c r="I35" s="22" t="s">
        <v>212</v>
      </c>
      <c r="J35" s="15" t="s">
        <v>212</v>
      </c>
      <c r="K35" s="22">
        <v>1977</v>
      </c>
      <c r="L35" s="22">
        <v>7</v>
      </c>
      <c r="M35" s="145">
        <f t="shared" si="2"/>
        <v>70</v>
      </c>
      <c r="N35" s="145">
        <f t="shared" si="1"/>
        <v>68.544</v>
      </c>
    </row>
    <row r="36" spans="1:14" s="80" customFormat="1" ht="15" customHeight="1">
      <c r="A36" s="791"/>
      <c r="B36" s="791"/>
      <c r="C36" s="790"/>
      <c r="D36" s="77">
        <v>1</v>
      </c>
      <c r="E36" s="22">
        <v>1</v>
      </c>
      <c r="F36" s="22"/>
      <c r="G36" s="22"/>
      <c r="H36" s="22">
        <v>1</v>
      </c>
      <c r="I36" s="22" t="s">
        <v>212</v>
      </c>
      <c r="J36" s="22" t="s">
        <v>496</v>
      </c>
      <c r="K36" s="22">
        <v>2008</v>
      </c>
      <c r="L36" s="22">
        <v>52</v>
      </c>
      <c r="M36" s="145">
        <f t="shared" si="2"/>
        <v>520</v>
      </c>
      <c r="N36" s="145">
        <f t="shared" si="1"/>
        <v>509.18399999999997</v>
      </c>
    </row>
    <row r="37" spans="1:14" s="80" customFormat="1" ht="15" customHeight="1">
      <c r="A37" s="791"/>
      <c r="B37" s="791"/>
      <c r="C37" s="790"/>
      <c r="D37" s="77">
        <v>1</v>
      </c>
      <c r="E37" s="22">
        <v>1</v>
      </c>
      <c r="F37" s="22"/>
      <c r="G37" s="22"/>
      <c r="H37" s="22">
        <v>1</v>
      </c>
      <c r="I37" s="22" t="s">
        <v>212</v>
      </c>
      <c r="J37" s="22" t="s">
        <v>18</v>
      </c>
      <c r="K37" s="22">
        <v>2009</v>
      </c>
      <c r="L37" s="22">
        <v>5</v>
      </c>
      <c r="M37" s="145">
        <f t="shared" si="2"/>
        <v>50</v>
      </c>
      <c r="N37" s="145">
        <f t="shared" si="1"/>
        <v>48.96</v>
      </c>
    </row>
    <row r="38" spans="1:14" s="80" customFormat="1" ht="15" customHeight="1">
      <c r="A38" s="791"/>
      <c r="B38" s="791"/>
      <c r="C38" s="790"/>
      <c r="D38" s="77">
        <v>1</v>
      </c>
      <c r="E38" s="22"/>
      <c r="F38" s="22">
        <v>1</v>
      </c>
      <c r="G38" s="22"/>
      <c r="H38" s="22">
        <v>1</v>
      </c>
      <c r="I38" s="22" t="s">
        <v>212</v>
      </c>
      <c r="J38" s="22" t="s">
        <v>495</v>
      </c>
      <c r="K38" s="22">
        <v>2011</v>
      </c>
      <c r="L38" s="22">
        <v>5</v>
      </c>
      <c r="M38" s="145">
        <f t="shared" si="2"/>
        <v>50</v>
      </c>
      <c r="N38" s="145">
        <f t="shared" si="1"/>
        <v>48.96</v>
      </c>
    </row>
    <row r="39" spans="1:14" s="80" customFormat="1" ht="15" customHeight="1">
      <c r="A39" s="791"/>
      <c r="B39" s="791"/>
      <c r="C39" s="790"/>
      <c r="D39" s="77">
        <v>1</v>
      </c>
      <c r="E39" s="22">
        <v>1</v>
      </c>
      <c r="F39" s="22"/>
      <c r="G39" s="22"/>
      <c r="H39" s="22">
        <v>1</v>
      </c>
      <c r="I39" s="22" t="s">
        <v>327</v>
      </c>
      <c r="J39" s="15" t="s">
        <v>327</v>
      </c>
      <c r="K39" s="22">
        <v>2004</v>
      </c>
      <c r="L39" s="22">
        <v>5</v>
      </c>
      <c r="M39" s="145">
        <f t="shared" si="2"/>
        <v>50</v>
      </c>
      <c r="N39" s="145">
        <f t="shared" si="1"/>
        <v>48.96</v>
      </c>
    </row>
    <row r="40" spans="1:14" s="80" customFormat="1" ht="15" customHeight="1">
      <c r="A40" s="791"/>
      <c r="B40" s="791"/>
      <c r="C40" s="790"/>
      <c r="D40" s="77">
        <v>1</v>
      </c>
      <c r="E40" s="22"/>
      <c r="F40" s="22">
        <v>1</v>
      </c>
      <c r="G40" s="22"/>
      <c r="H40" s="22">
        <v>1</v>
      </c>
      <c r="I40" s="22" t="s">
        <v>212</v>
      </c>
      <c r="J40" s="15" t="s">
        <v>343</v>
      </c>
      <c r="K40" s="22">
        <v>2011</v>
      </c>
      <c r="L40" s="22">
        <v>1</v>
      </c>
      <c r="M40" s="145">
        <f t="shared" si="2"/>
        <v>10</v>
      </c>
      <c r="N40" s="145">
        <f t="shared" si="1"/>
        <v>9.792</v>
      </c>
    </row>
    <row r="41" spans="1:14" s="80" customFormat="1" ht="15" customHeight="1">
      <c r="A41" s="791"/>
      <c r="B41" s="791"/>
      <c r="C41" s="790"/>
      <c r="D41" s="77">
        <v>1</v>
      </c>
      <c r="E41" s="22">
        <v>1</v>
      </c>
      <c r="F41" s="22"/>
      <c r="G41" s="22"/>
      <c r="H41" s="22">
        <v>1</v>
      </c>
      <c r="I41" s="22" t="s">
        <v>212</v>
      </c>
      <c r="J41" s="15" t="s">
        <v>20</v>
      </c>
      <c r="K41" s="22">
        <v>2010</v>
      </c>
      <c r="L41" s="22">
        <v>7</v>
      </c>
      <c r="M41" s="145">
        <f t="shared" si="2"/>
        <v>70</v>
      </c>
      <c r="N41" s="145">
        <f t="shared" si="1"/>
        <v>68.544</v>
      </c>
    </row>
    <row r="42" spans="1:14" s="80" customFormat="1" ht="15" customHeight="1">
      <c r="A42" s="791"/>
      <c r="B42" s="791"/>
      <c r="C42" s="790"/>
      <c r="D42" s="77">
        <v>1</v>
      </c>
      <c r="E42" s="22"/>
      <c r="F42" s="22">
        <v>1</v>
      </c>
      <c r="G42" s="22"/>
      <c r="H42" s="22">
        <v>1</v>
      </c>
      <c r="I42" s="22" t="s">
        <v>343</v>
      </c>
      <c r="J42" s="22" t="s">
        <v>343</v>
      </c>
      <c r="K42" s="22">
        <v>2002</v>
      </c>
      <c r="L42" s="22">
        <v>3</v>
      </c>
      <c r="M42" s="145">
        <f t="shared" si="2"/>
        <v>30</v>
      </c>
      <c r="N42" s="145">
        <f t="shared" si="1"/>
        <v>29.375999999999998</v>
      </c>
    </row>
    <row r="43" spans="1:14" s="80" customFormat="1" ht="15" customHeight="1">
      <c r="A43" s="791"/>
      <c r="B43" s="791"/>
      <c r="C43" s="790"/>
      <c r="D43" s="77">
        <v>1</v>
      </c>
      <c r="E43" s="22"/>
      <c r="F43" s="22">
        <v>1</v>
      </c>
      <c r="G43" s="22">
        <v>1</v>
      </c>
      <c r="H43" s="22"/>
      <c r="I43" s="22" t="s">
        <v>212</v>
      </c>
      <c r="J43" s="22" t="s">
        <v>212</v>
      </c>
      <c r="K43" s="22">
        <v>1995</v>
      </c>
      <c r="L43" s="22">
        <v>17</v>
      </c>
      <c r="M43" s="145">
        <f t="shared" si="2"/>
        <v>170</v>
      </c>
      <c r="N43" s="145">
        <f t="shared" si="1"/>
        <v>166.464</v>
      </c>
    </row>
    <row r="44" spans="1:14" s="80" customFormat="1" ht="15" customHeight="1">
      <c r="A44" s="791"/>
      <c r="B44" s="791"/>
      <c r="C44" s="790"/>
      <c r="D44" s="77">
        <v>1</v>
      </c>
      <c r="E44" s="22"/>
      <c r="F44" s="22">
        <v>1</v>
      </c>
      <c r="G44" s="22">
        <v>1</v>
      </c>
      <c r="H44" s="22"/>
      <c r="I44" s="22" t="s">
        <v>212</v>
      </c>
      <c r="J44" s="15" t="s">
        <v>212</v>
      </c>
      <c r="K44" s="22">
        <v>2009</v>
      </c>
      <c r="L44" s="22">
        <v>13</v>
      </c>
      <c r="M44" s="145">
        <f t="shared" si="2"/>
        <v>130</v>
      </c>
      <c r="N44" s="145">
        <f t="shared" si="1"/>
        <v>127.29599999999999</v>
      </c>
    </row>
    <row r="45" spans="1:14" s="80" customFormat="1" ht="15" customHeight="1">
      <c r="A45" s="791"/>
      <c r="B45" s="791"/>
      <c r="C45" s="790"/>
      <c r="D45" s="77">
        <v>1</v>
      </c>
      <c r="E45" s="22"/>
      <c r="F45" s="22">
        <v>1</v>
      </c>
      <c r="G45" s="22"/>
      <c r="H45" s="22">
        <v>1</v>
      </c>
      <c r="I45" s="22" t="s">
        <v>343</v>
      </c>
      <c r="J45" s="15" t="s">
        <v>343</v>
      </c>
      <c r="K45" s="22">
        <v>1997</v>
      </c>
      <c r="L45" s="22">
        <v>3</v>
      </c>
      <c r="M45" s="145">
        <f t="shared" si="2"/>
        <v>30</v>
      </c>
      <c r="N45" s="145">
        <f t="shared" si="1"/>
        <v>29.375999999999998</v>
      </c>
    </row>
    <row r="46" spans="1:14" s="80" customFormat="1" ht="15" customHeight="1">
      <c r="A46" s="791"/>
      <c r="B46" s="791"/>
      <c r="C46" s="790"/>
      <c r="D46" s="77">
        <v>1</v>
      </c>
      <c r="E46" s="22">
        <v>1</v>
      </c>
      <c r="F46" s="22"/>
      <c r="G46" s="22"/>
      <c r="H46" s="22">
        <v>1</v>
      </c>
      <c r="I46" s="22" t="s">
        <v>18</v>
      </c>
      <c r="J46" s="22" t="s">
        <v>18</v>
      </c>
      <c r="K46" s="22">
        <v>1997</v>
      </c>
      <c r="L46" s="22">
        <v>8</v>
      </c>
      <c r="M46" s="145">
        <f t="shared" si="2"/>
        <v>80</v>
      </c>
      <c r="N46" s="145">
        <f t="shared" si="1"/>
        <v>78.336</v>
      </c>
    </row>
    <row r="47" spans="1:14" s="80" customFormat="1" ht="15" customHeight="1">
      <c r="A47" s="791"/>
      <c r="B47" s="791"/>
      <c r="C47" s="790"/>
      <c r="D47" s="77">
        <v>1</v>
      </c>
      <c r="E47" s="22"/>
      <c r="F47" s="22">
        <v>1</v>
      </c>
      <c r="G47" s="22"/>
      <c r="H47" s="22">
        <v>1</v>
      </c>
      <c r="I47" s="22" t="s">
        <v>343</v>
      </c>
      <c r="J47" s="15" t="s">
        <v>343</v>
      </c>
      <c r="K47" s="22">
        <v>1995</v>
      </c>
      <c r="L47" s="22">
        <v>28</v>
      </c>
      <c r="M47" s="145">
        <f t="shared" si="2"/>
        <v>280</v>
      </c>
      <c r="N47" s="145">
        <f t="shared" si="1"/>
        <v>274.176</v>
      </c>
    </row>
    <row r="48" spans="1:14" s="80" customFormat="1" ht="15" customHeight="1">
      <c r="A48" s="791"/>
      <c r="B48" s="791"/>
      <c r="C48" s="790"/>
      <c r="D48" s="77">
        <v>1</v>
      </c>
      <c r="E48" s="22"/>
      <c r="F48" s="22">
        <v>1</v>
      </c>
      <c r="G48" s="22"/>
      <c r="H48" s="22">
        <v>1</v>
      </c>
      <c r="I48" s="22" t="s">
        <v>343</v>
      </c>
      <c r="J48" s="15" t="s">
        <v>343</v>
      </c>
      <c r="K48" s="22">
        <v>2001</v>
      </c>
      <c r="L48" s="22">
        <v>5</v>
      </c>
      <c r="M48" s="145">
        <f t="shared" si="2"/>
        <v>50</v>
      </c>
      <c r="N48" s="145">
        <f t="shared" si="1"/>
        <v>48.96</v>
      </c>
    </row>
    <row r="49" spans="1:14" s="80" customFormat="1" ht="15" customHeight="1">
      <c r="A49" s="791"/>
      <c r="B49" s="791"/>
      <c r="C49" s="790"/>
      <c r="D49" s="77">
        <v>1</v>
      </c>
      <c r="E49" s="22">
        <v>1</v>
      </c>
      <c r="F49" s="22"/>
      <c r="G49" s="22">
        <v>1</v>
      </c>
      <c r="H49" s="22"/>
      <c r="I49" s="22" t="s">
        <v>212</v>
      </c>
      <c r="J49" s="15" t="s">
        <v>135</v>
      </c>
      <c r="K49" s="22">
        <v>2007</v>
      </c>
      <c r="L49" s="22">
        <v>11</v>
      </c>
      <c r="M49" s="145">
        <f t="shared" si="2"/>
        <v>110</v>
      </c>
      <c r="N49" s="145">
        <f t="shared" si="1"/>
        <v>107.712</v>
      </c>
    </row>
    <row r="50" spans="1:14" s="80" customFormat="1" ht="15" customHeight="1">
      <c r="A50" s="791"/>
      <c r="B50" s="791"/>
      <c r="C50" s="790"/>
      <c r="D50" s="77">
        <v>1</v>
      </c>
      <c r="E50" s="22"/>
      <c r="F50" s="22">
        <v>1</v>
      </c>
      <c r="G50" s="22"/>
      <c r="H50" s="22">
        <v>1</v>
      </c>
      <c r="I50" s="22" t="s">
        <v>212</v>
      </c>
      <c r="J50" s="22" t="s">
        <v>343</v>
      </c>
      <c r="K50" s="22">
        <v>2011</v>
      </c>
      <c r="L50" s="22">
        <v>10</v>
      </c>
      <c r="M50" s="145">
        <f t="shared" si="2"/>
        <v>100</v>
      </c>
      <c r="N50" s="145">
        <f t="shared" si="1"/>
        <v>97.92</v>
      </c>
    </row>
    <row r="51" spans="1:14" s="161" customFormat="1" ht="15" customHeight="1">
      <c r="A51" s="1036" t="s">
        <v>8</v>
      </c>
      <c r="B51" s="1036"/>
      <c r="C51" s="109"/>
      <c r="D51" s="120">
        <f>SUM(D11:D50)</f>
        <v>40</v>
      </c>
      <c r="E51" s="120">
        <f>SUM(E11:E50)</f>
        <v>16</v>
      </c>
      <c r="F51" s="120">
        <f>SUM(F11:F50)</f>
        <v>24</v>
      </c>
      <c r="G51" s="120">
        <f>SUM(G11:G50)</f>
        <v>10</v>
      </c>
      <c r="H51" s="120">
        <f>SUM(H11:H50)</f>
        <v>30</v>
      </c>
      <c r="I51" s="109"/>
      <c r="J51" s="109"/>
      <c r="K51" s="109"/>
      <c r="L51" s="120">
        <f>SUM(L11:L50)</f>
        <v>389</v>
      </c>
      <c r="M51" s="149">
        <f>SUM(M11:M50)</f>
        <v>3890</v>
      </c>
      <c r="N51" s="149">
        <f>SUM(N11:N50)</f>
        <v>3809.0879999999993</v>
      </c>
    </row>
    <row r="52" spans="1:14" s="404" customFormat="1" ht="15" customHeight="1">
      <c r="A52" s="1047" t="s">
        <v>67</v>
      </c>
      <c r="B52" s="1047"/>
      <c r="C52" s="31"/>
      <c r="D52" s="592"/>
      <c r="E52" s="31"/>
      <c r="F52" s="31"/>
      <c r="G52" s="31"/>
      <c r="H52" s="31"/>
      <c r="I52" s="31"/>
      <c r="J52" s="31"/>
      <c r="K52" s="31"/>
      <c r="L52" s="31"/>
      <c r="M52" s="164"/>
      <c r="N52" s="164"/>
    </row>
    <row r="53" spans="1:14" s="50" customFormat="1" ht="48" customHeight="1">
      <c r="A53" s="39" t="s">
        <v>332</v>
      </c>
      <c r="B53" s="39" t="s">
        <v>333</v>
      </c>
      <c r="C53" s="39" t="s">
        <v>213</v>
      </c>
      <c r="D53" s="249" t="s">
        <v>36</v>
      </c>
      <c r="E53" s="115" t="s">
        <v>73</v>
      </c>
      <c r="F53" s="115" t="s">
        <v>74</v>
      </c>
      <c r="G53" s="115" t="s">
        <v>37</v>
      </c>
      <c r="H53" s="115" t="s">
        <v>38</v>
      </c>
      <c r="I53" s="39" t="s">
        <v>15</v>
      </c>
      <c r="J53" s="115" t="s">
        <v>214</v>
      </c>
      <c r="K53" s="115" t="s">
        <v>39</v>
      </c>
      <c r="L53" s="115" t="s">
        <v>62</v>
      </c>
      <c r="M53" s="130" t="s">
        <v>124</v>
      </c>
      <c r="N53" s="130" t="s">
        <v>383</v>
      </c>
    </row>
    <row r="54" spans="1:14" s="80" customFormat="1" ht="15" customHeight="1">
      <c r="A54" s="791"/>
      <c r="B54" s="791"/>
      <c r="C54" s="790"/>
      <c r="D54" s="77">
        <v>1</v>
      </c>
      <c r="E54" s="22"/>
      <c r="F54" s="22">
        <v>1</v>
      </c>
      <c r="G54" s="22"/>
      <c r="H54" s="22">
        <v>1</v>
      </c>
      <c r="I54" s="22" t="s">
        <v>212</v>
      </c>
      <c r="J54" s="15" t="s">
        <v>18</v>
      </c>
      <c r="K54" s="22">
        <v>2009</v>
      </c>
      <c r="L54" s="22">
        <v>37</v>
      </c>
      <c r="M54" s="145">
        <f>L54*10</f>
        <v>370</v>
      </c>
      <c r="N54" s="145">
        <v>362.3</v>
      </c>
    </row>
    <row r="55" spans="1:14" s="80" customFormat="1" ht="15" customHeight="1">
      <c r="A55" s="791"/>
      <c r="B55" s="791"/>
      <c r="C55" s="790"/>
      <c r="D55" s="77">
        <v>1</v>
      </c>
      <c r="E55" s="22">
        <v>1</v>
      </c>
      <c r="F55" s="22"/>
      <c r="G55" s="22"/>
      <c r="H55" s="22">
        <v>1</v>
      </c>
      <c r="I55" s="22" t="s">
        <v>212</v>
      </c>
      <c r="J55" s="15" t="s">
        <v>18</v>
      </c>
      <c r="K55" s="22">
        <v>2009</v>
      </c>
      <c r="L55" s="22">
        <v>5</v>
      </c>
      <c r="M55" s="145">
        <f>L55*10</f>
        <v>50</v>
      </c>
      <c r="N55" s="145">
        <v>48.96</v>
      </c>
    </row>
    <row r="56" spans="1:14" s="80" customFormat="1" ht="15" customHeight="1">
      <c r="A56" s="791"/>
      <c r="B56" s="791"/>
      <c r="C56" s="790"/>
      <c r="D56" s="77">
        <v>1</v>
      </c>
      <c r="E56" s="22">
        <v>1</v>
      </c>
      <c r="F56" s="22"/>
      <c r="G56" s="22"/>
      <c r="H56" s="22">
        <v>1</v>
      </c>
      <c r="I56" s="22" t="s">
        <v>212</v>
      </c>
      <c r="J56" s="15" t="s">
        <v>18</v>
      </c>
      <c r="K56" s="15">
        <v>2009</v>
      </c>
      <c r="L56" s="22">
        <v>4</v>
      </c>
      <c r="M56" s="145">
        <f>L56*10</f>
        <v>40</v>
      </c>
      <c r="N56" s="145">
        <v>39.17</v>
      </c>
    </row>
    <row r="57" spans="1:14" s="161" customFormat="1" ht="15" customHeight="1">
      <c r="A57" s="1036" t="s">
        <v>95</v>
      </c>
      <c r="B57" s="1036"/>
      <c r="C57" s="109"/>
      <c r="D57" s="120">
        <f>SUM(D54:D56)</f>
        <v>3</v>
      </c>
      <c r="E57" s="120">
        <f>SUM(E55:E56)</f>
        <v>2</v>
      </c>
      <c r="F57" s="120">
        <v>1</v>
      </c>
      <c r="G57" s="109"/>
      <c r="H57" s="120">
        <f>SUM(H54:H56)</f>
        <v>3</v>
      </c>
      <c r="I57" s="109"/>
      <c r="J57" s="109"/>
      <c r="K57" s="109"/>
      <c r="L57" s="120">
        <f>SUM(L54:L56)</f>
        <v>46</v>
      </c>
      <c r="M57" s="149">
        <f>SUM(M54:M56)</f>
        <v>460</v>
      </c>
      <c r="N57" s="149">
        <f>SUM(N54:N56)</f>
        <v>450.43</v>
      </c>
    </row>
    <row r="58" spans="1:14" s="404" customFormat="1" ht="15" customHeight="1">
      <c r="A58" s="1047" t="s">
        <v>68</v>
      </c>
      <c r="B58" s="1047"/>
      <c r="C58" s="31"/>
      <c r="D58" s="592"/>
      <c r="E58" s="31"/>
      <c r="F58" s="31"/>
      <c r="G58" s="31"/>
      <c r="H58" s="31"/>
      <c r="I58" s="31"/>
      <c r="J58" s="31"/>
      <c r="K58" s="31"/>
      <c r="L58" s="31"/>
      <c r="M58" s="164"/>
      <c r="N58" s="164"/>
    </row>
    <row r="59" spans="1:14" s="50" customFormat="1" ht="48" customHeight="1">
      <c r="A59" s="39" t="s">
        <v>332</v>
      </c>
      <c r="B59" s="39" t="s">
        <v>333</v>
      </c>
      <c r="C59" s="39" t="s">
        <v>213</v>
      </c>
      <c r="D59" s="249" t="s">
        <v>36</v>
      </c>
      <c r="E59" s="115" t="s">
        <v>73</v>
      </c>
      <c r="F59" s="115" t="s">
        <v>74</v>
      </c>
      <c r="G59" s="115" t="s">
        <v>37</v>
      </c>
      <c r="H59" s="115" t="s">
        <v>38</v>
      </c>
      <c r="I59" s="39" t="s">
        <v>15</v>
      </c>
      <c r="J59" s="115" t="s">
        <v>214</v>
      </c>
      <c r="K59" s="115" t="s">
        <v>39</v>
      </c>
      <c r="L59" s="115" t="s">
        <v>62</v>
      </c>
      <c r="M59" s="130" t="s">
        <v>124</v>
      </c>
      <c r="N59" s="130" t="s">
        <v>383</v>
      </c>
    </row>
    <row r="60" spans="1:14" s="80" customFormat="1" ht="15" customHeight="1">
      <c r="A60" s="793"/>
      <c r="B60" s="793"/>
      <c r="C60" s="801"/>
      <c r="D60" s="77">
        <v>1</v>
      </c>
      <c r="E60" s="22"/>
      <c r="F60" s="22">
        <v>1</v>
      </c>
      <c r="G60" s="22"/>
      <c r="H60" s="22">
        <v>1</v>
      </c>
      <c r="I60" s="409" t="s">
        <v>212</v>
      </c>
      <c r="J60" s="415" t="s">
        <v>326</v>
      </c>
      <c r="K60" s="409">
        <v>2010</v>
      </c>
      <c r="L60" s="22">
        <v>5</v>
      </c>
      <c r="M60" s="145">
        <f aca="true" t="shared" si="3" ref="M60:M67">L60*10</f>
        <v>50</v>
      </c>
      <c r="N60" s="145">
        <v>48.96</v>
      </c>
    </row>
    <row r="61" spans="1:14" s="80" customFormat="1" ht="15" customHeight="1">
      <c r="A61" s="793"/>
      <c r="B61" s="793"/>
      <c r="C61" s="801"/>
      <c r="D61" s="77">
        <v>1</v>
      </c>
      <c r="E61" s="22">
        <v>1</v>
      </c>
      <c r="F61" s="22"/>
      <c r="G61" s="22"/>
      <c r="H61" s="22">
        <v>1</v>
      </c>
      <c r="I61" s="429" t="s">
        <v>18</v>
      </c>
      <c r="J61" s="415" t="s">
        <v>18</v>
      </c>
      <c r="K61" s="222">
        <v>1996</v>
      </c>
      <c r="L61" s="22">
        <v>20</v>
      </c>
      <c r="M61" s="145">
        <f t="shared" si="3"/>
        <v>200</v>
      </c>
      <c r="N61" s="145">
        <v>195.84</v>
      </c>
    </row>
    <row r="62" spans="1:14" s="80" customFormat="1" ht="15" customHeight="1">
      <c r="A62" s="793"/>
      <c r="B62" s="793"/>
      <c r="C62" s="801"/>
      <c r="D62" s="77">
        <v>1</v>
      </c>
      <c r="E62" s="22"/>
      <c r="F62" s="22">
        <v>1</v>
      </c>
      <c r="G62" s="22"/>
      <c r="H62" s="22">
        <v>1</v>
      </c>
      <c r="I62" s="409" t="s">
        <v>212</v>
      </c>
      <c r="J62" s="415" t="s">
        <v>18</v>
      </c>
      <c r="K62" s="409">
        <v>2006</v>
      </c>
      <c r="L62" s="22">
        <v>5</v>
      </c>
      <c r="M62" s="145">
        <f t="shared" si="3"/>
        <v>50</v>
      </c>
      <c r="N62" s="145">
        <v>48.96</v>
      </c>
    </row>
    <row r="63" spans="1:14" s="80" customFormat="1" ht="15" customHeight="1">
      <c r="A63" s="793"/>
      <c r="B63" s="793"/>
      <c r="C63" s="801"/>
      <c r="D63" s="77">
        <v>1</v>
      </c>
      <c r="E63" s="22"/>
      <c r="F63" s="22">
        <v>1</v>
      </c>
      <c r="G63" s="22"/>
      <c r="H63" s="22">
        <v>1</v>
      </c>
      <c r="I63" s="409" t="s">
        <v>212</v>
      </c>
      <c r="J63" s="415" t="s">
        <v>20</v>
      </c>
      <c r="K63" s="222">
        <v>2010</v>
      </c>
      <c r="L63" s="22">
        <v>4</v>
      </c>
      <c r="M63" s="145">
        <f t="shared" si="3"/>
        <v>40</v>
      </c>
      <c r="N63" s="145">
        <v>39.17</v>
      </c>
    </row>
    <row r="64" spans="1:14" s="80" customFormat="1" ht="15" customHeight="1">
      <c r="A64" s="793"/>
      <c r="B64" s="793"/>
      <c r="C64" s="801"/>
      <c r="D64" s="77">
        <v>1</v>
      </c>
      <c r="E64" s="22">
        <v>1</v>
      </c>
      <c r="F64" s="22"/>
      <c r="G64" s="22">
        <v>1</v>
      </c>
      <c r="H64" s="22"/>
      <c r="I64" s="415" t="s">
        <v>212</v>
      </c>
      <c r="J64" s="415" t="s">
        <v>212</v>
      </c>
      <c r="K64" s="409">
        <v>1997</v>
      </c>
      <c r="L64" s="22">
        <v>10</v>
      </c>
      <c r="M64" s="145">
        <f t="shared" si="3"/>
        <v>100</v>
      </c>
      <c r="N64" s="145">
        <v>97.92</v>
      </c>
    </row>
    <row r="65" spans="1:14" s="80" customFormat="1" ht="15" customHeight="1">
      <c r="A65" s="793"/>
      <c r="B65" s="793"/>
      <c r="C65" s="801"/>
      <c r="D65" s="77">
        <v>1</v>
      </c>
      <c r="E65" s="409">
        <v>1</v>
      </c>
      <c r="F65" s="22"/>
      <c r="G65" s="22"/>
      <c r="H65" s="22">
        <v>1</v>
      </c>
      <c r="I65" s="409" t="s">
        <v>212</v>
      </c>
      <c r="J65" s="415" t="s">
        <v>18</v>
      </c>
      <c r="K65" s="222">
        <v>2002</v>
      </c>
      <c r="L65" s="22">
        <v>3</v>
      </c>
      <c r="M65" s="145">
        <f t="shared" si="3"/>
        <v>30</v>
      </c>
      <c r="N65" s="145">
        <v>29.37</v>
      </c>
    </row>
    <row r="66" spans="1:14" s="80" customFormat="1" ht="15" customHeight="1">
      <c r="A66" s="793"/>
      <c r="B66" s="793"/>
      <c r="C66" s="801"/>
      <c r="D66" s="77">
        <v>1</v>
      </c>
      <c r="E66" s="22"/>
      <c r="F66" s="22">
        <v>1</v>
      </c>
      <c r="G66" s="22">
        <v>1</v>
      </c>
      <c r="H66" s="22"/>
      <c r="I66" s="409" t="s">
        <v>212</v>
      </c>
      <c r="J66" s="415" t="s">
        <v>136</v>
      </c>
      <c r="K66" s="222">
        <v>2001</v>
      </c>
      <c r="L66" s="22">
        <v>5</v>
      </c>
      <c r="M66" s="145">
        <f t="shared" si="3"/>
        <v>50</v>
      </c>
      <c r="N66" s="145">
        <v>48.96</v>
      </c>
    </row>
    <row r="67" spans="1:14" s="80" customFormat="1" ht="15" customHeight="1">
      <c r="A67" s="791"/>
      <c r="B67" s="791"/>
      <c r="C67" s="792"/>
      <c r="D67" s="77"/>
      <c r="E67" s="22"/>
      <c r="F67" s="22"/>
      <c r="G67" s="22"/>
      <c r="H67" s="22"/>
      <c r="I67" s="222"/>
      <c r="J67" s="222"/>
      <c r="K67" s="222"/>
      <c r="L67" s="22">
        <v>3</v>
      </c>
      <c r="M67" s="145">
        <f t="shared" si="3"/>
        <v>30</v>
      </c>
      <c r="N67" s="145">
        <v>29.38</v>
      </c>
    </row>
    <row r="68" spans="1:14" s="161" customFormat="1" ht="15" customHeight="1">
      <c r="A68" s="1036" t="s">
        <v>478</v>
      </c>
      <c r="B68" s="1036"/>
      <c r="C68" s="109"/>
      <c r="D68" s="120">
        <f>SUM(D60:D67)</f>
        <v>7</v>
      </c>
      <c r="E68" s="120">
        <f>SUM(E60:E67)</f>
        <v>3</v>
      </c>
      <c r="F68" s="120">
        <f>SUM(F60:F67)</f>
        <v>4</v>
      </c>
      <c r="G68" s="120">
        <f>SUM(G60:G67)</f>
        <v>2</v>
      </c>
      <c r="H68" s="120">
        <f>SUM(H60:H67)</f>
        <v>5</v>
      </c>
      <c r="I68" s="109"/>
      <c r="J68" s="109"/>
      <c r="K68" s="109"/>
      <c r="L68" s="120">
        <f>SUM(L60:L67)</f>
        <v>55</v>
      </c>
      <c r="M68" s="149">
        <f>SUM(M60:M67)</f>
        <v>550</v>
      </c>
      <c r="N68" s="149">
        <f>SUM(N60:N67)</f>
        <v>538.5600000000001</v>
      </c>
    </row>
    <row r="69" spans="1:14" s="161" customFormat="1" ht="15" customHeight="1">
      <c r="A69" s="1047" t="s">
        <v>65</v>
      </c>
      <c r="B69" s="1047"/>
      <c r="C69" s="31"/>
      <c r="D69" s="592"/>
      <c r="E69" s="31"/>
      <c r="F69" s="31"/>
      <c r="G69" s="31"/>
      <c r="H69" s="31"/>
      <c r="I69" s="31"/>
      <c r="J69" s="31"/>
      <c r="K69" s="31"/>
      <c r="L69" s="31"/>
      <c r="M69" s="164"/>
      <c r="N69" s="164"/>
    </row>
    <row r="70" spans="1:14" s="161" customFormat="1" ht="48" customHeight="1">
      <c r="A70" s="39" t="s">
        <v>332</v>
      </c>
      <c r="B70" s="39" t="s">
        <v>333</v>
      </c>
      <c r="C70" s="39" t="s">
        <v>213</v>
      </c>
      <c r="D70" s="249" t="s">
        <v>36</v>
      </c>
      <c r="E70" s="115" t="s">
        <v>73</v>
      </c>
      <c r="F70" s="115" t="s">
        <v>74</v>
      </c>
      <c r="G70" s="115" t="s">
        <v>37</v>
      </c>
      <c r="H70" s="115" t="s">
        <v>38</v>
      </c>
      <c r="I70" s="39" t="s">
        <v>15</v>
      </c>
      <c r="J70" s="115" t="s">
        <v>214</v>
      </c>
      <c r="K70" s="115" t="s">
        <v>39</v>
      </c>
      <c r="L70" s="115" t="s">
        <v>62</v>
      </c>
      <c r="M70" s="130" t="s">
        <v>124</v>
      </c>
      <c r="N70" s="130" t="s">
        <v>383</v>
      </c>
    </row>
    <row r="71" spans="1:14" s="161" customFormat="1" ht="15" customHeight="1">
      <c r="A71" s="1058" t="s">
        <v>340</v>
      </c>
      <c r="B71" s="1059"/>
      <c r="C71" s="109"/>
      <c r="D71" s="120">
        <v>0</v>
      </c>
      <c r="E71" s="120">
        <v>0</v>
      </c>
      <c r="F71" s="120">
        <v>0</v>
      </c>
      <c r="G71" s="120">
        <v>0</v>
      </c>
      <c r="H71" s="120">
        <v>0</v>
      </c>
      <c r="I71" s="109"/>
      <c r="J71" s="109"/>
      <c r="K71" s="109"/>
      <c r="L71" s="120"/>
      <c r="M71" s="149"/>
      <c r="N71" s="149"/>
    </row>
    <row r="72" spans="1:14" s="404" customFormat="1" ht="15" customHeight="1">
      <c r="A72" s="1047" t="s">
        <v>69</v>
      </c>
      <c r="B72" s="1047"/>
      <c r="C72" s="31"/>
      <c r="D72" s="592"/>
      <c r="E72" s="31"/>
      <c r="F72" s="31"/>
      <c r="G72" s="31"/>
      <c r="H72" s="31"/>
      <c r="I72" s="31"/>
      <c r="J72" s="31"/>
      <c r="K72" s="31"/>
      <c r="L72" s="31"/>
      <c r="M72" s="164"/>
      <c r="N72" s="164"/>
    </row>
    <row r="73" spans="1:14" s="50" customFormat="1" ht="48" customHeight="1">
      <c r="A73" s="39" t="s">
        <v>332</v>
      </c>
      <c r="B73" s="39" t="s">
        <v>333</v>
      </c>
      <c r="C73" s="39" t="s">
        <v>213</v>
      </c>
      <c r="D73" s="249" t="s">
        <v>36</v>
      </c>
      <c r="E73" s="115" t="s">
        <v>73</v>
      </c>
      <c r="F73" s="115" t="s">
        <v>74</v>
      </c>
      <c r="G73" s="115" t="s">
        <v>37</v>
      </c>
      <c r="H73" s="115" t="s">
        <v>38</v>
      </c>
      <c r="I73" s="39" t="s">
        <v>15</v>
      </c>
      <c r="J73" s="115" t="s">
        <v>214</v>
      </c>
      <c r="K73" s="115" t="s">
        <v>39</v>
      </c>
      <c r="L73" s="115" t="s">
        <v>62</v>
      </c>
      <c r="M73" s="130" t="s">
        <v>124</v>
      </c>
      <c r="N73" s="130" t="s">
        <v>383</v>
      </c>
    </row>
    <row r="74" spans="1:14" s="80" customFormat="1" ht="15" customHeight="1">
      <c r="A74" s="793"/>
      <c r="B74" s="793"/>
      <c r="C74" s="801"/>
      <c r="D74" s="77">
        <v>1</v>
      </c>
      <c r="E74" s="22">
        <v>1</v>
      </c>
      <c r="F74" s="22"/>
      <c r="G74" s="22"/>
      <c r="H74" s="22">
        <v>1</v>
      </c>
      <c r="I74" s="409" t="s">
        <v>212</v>
      </c>
      <c r="J74" s="415" t="s">
        <v>19</v>
      </c>
      <c r="K74" s="222">
        <v>2006</v>
      </c>
      <c r="L74" s="22">
        <v>7</v>
      </c>
      <c r="M74" s="145">
        <f>L74*10</f>
        <v>70</v>
      </c>
      <c r="N74" s="145">
        <v>68.54</v>
      </c>
    </row>
    <row r="75" spans="1:14" s="80" customFormat="1" ht="15" customHeight="1">
      <c r="A75" s="793"/>
      <c r="B75" s="793"/>
      <c r="C75" s="801"/>
      <c r="D75" s="77">
        <v>1</v>
      </c>
      <c r="E75" s="22"/>
      <c r="F75" s="409">
        <v>1</v>
      </c>
      <c r="G75" s="22"/>
      <c r="H75" s="22">
        <v>1</v>
      </c>
      <c r="I75" s="409" t="s">
        <v>212</v>
      </c>
      <c r="J75" s="415" t="s">
        <v>19</v>
      </c>
      <c r="K75" s="222">
        <v>2012</v>
      </c>
      <c r="L75" s="22">
        <v>4</v>
      </c>
      <c r="M75" s="145">
        <f>L75*10</f>
        <v>40</v>
      </c>
      <c r="N75" s="145">
        <v>39.17</v>
      </c>
    </row>
    <row r="76" spans="1:14" s="80" customFormat="1" ht="15" customHeight="1">
      <c r="A76" s="793"/>
      <c r="B76" s="793"/>
      <c r="C76" s="800"/>
      <c r="D76" s="77">
        <v>1</v>
      </c>
      <c r="E76" s="22">
        <v>1</v>
      </c>
      <c r="F76" s="22"/>
      <c r="G76" s="22"/>
      <c r="H76" s="22">
        <v>1</v>
      </c>
      <c r="I76" s="409" t="s">
        <v>212</v>
      </c>
      <c r="J76" s="415" t="s">
        <v>327</v>
      </c>
      <c r="K76" s="409">
        <v>2005</v>
      </c>
      <c r="L76" s="22">
        <v>5</v>
      </c>
      <c r="M76" s="145">
        <f>L76*10</f>
        <v>50</v>
      </c>
      <c r="N76" s="145">
        <v>48.96</v>
      </c>
    </row>
    <row r="77" spans="1:14" s="80" customFormat="1" ht="15" customHeight="1">
      <c r="A77" s="791"/>
      <c r="B77" s="791"/>
      <c r="C77" s="790"/>
      <c r="D77" s="77">
        <v>1</v>
      </c>
      <c r="E77" s="22">
        <v>1</v>
      </c>
      <c r="F77" s="22"/>
      <c r="G77" s="22">
        <v>1</v>
      </c>
      <c r="H77" s="22"/>
      <c r="I77" s="22" t="s">
        <v>212</v>
      </c>
      <c r="J77" s="222" t="s">
        <v>212</v>
      </c>
      <c r="K77" s="22">
        <v>1998</v>
      </c>
      <c r="L77" s="22">
        <v>9</v>
      </c>
      <c r="M77" s="145">
        <f>L77*10</f>
        <v>90</v>
      </c>
      <c r="N77" s="145">
        <v>88.13</v>
      </c>
    </row>
    <row r="78" spans="1:14" s="161" customFormat="1" ht="15" customHeight="1">
      <c r="A78" s="1036" t="s">
        <v>13</v>
      </c>
      <c r="B78" s="1036"/>
      <c r="C78" s="109"/>
      <c r="D78" s="120">
        <f>SUM(D74:D77)</f>
        <v>4</v>
      </c>
      <c r="E78" s="120">
        <f>SUM(E74:E77)</f>
        <v>3</v>
      </c>
      <c r="F78" s="120">
        <f>SUM(F74:F77)</f>
        <v>1</v>
      </c>
      <c r="G78" s="120">
        <v>1</v>
      </c>
      <c r="H78" s="120">
        <f>SUM(H74:H77)</f>
        <v>3</v>
      </c>
      <c r="I78" s="109"/>
      <c r="J78" s="109"/>
      <c r="K78" s="109"/>
      <c r="L78" s="120">
        <f>SUM(L74:L77)</f>
        <v>25</v>
      </c>
      <c r="M78" s="149">
        <f>SUM(M74:M77)</f>
        <v>250</v>
      </c>
      <c r="N78" s="149">
        <f>SUM(N74:N77)</f>
        <v>244.8</v>
      </c>
    </row>
    <row r="79" spans="1:14" s="404" customFormat="1" ht="15" customHeight="1">
      <c r="A79" s="1047" t="s">
        <v>70</v>
      </c>
      <c r="B79" s="1047"/>
      <c r="C79" s="31"/>
      <c r="D79" s="592"/>
      <c r="E79" s="31"/>
      <c r="F79" s="31"/>
      <c r="G79" s="31"/>
      <c r="H79" s="31"/>
      <c r="I79" s="31"/>
      <c r="J79" s="31"/>
      <c r="K79" s="31"/>
      <c r="L79" s="31"/>
      <c r="M79" s="164"/>
      <c r="N79" s="164"/>
    </row>
    <row r="80" spans="1:14" s="50" customFormat="1" ht="48" customHeight="1">
      <c r="A80" s="39" t="s">
        <v>332</v>
      </c>
      <c r="B80" s="39" t="s">
        <v>333</v>
      </c>
      <c r="C80" s="39" t="s">
        <v>213</v>
      </c>
      <c r="D80" s="249" t="s">
        <v>36</v>
      </c>
      <c r="E80" s="115" t="s">
        <v>73</v>
      </c>
      <c r="F80" s="115" t="s">
        <v>74</v>
      </c>
      <c r="G80" s="115" t="s">
        <v>37</v>
      </c>
      <c r="H80" s="115" t="s">
        <v>38</v>
      </c>
      <c r="I80" s="39" t="s">
        <v>15</v>
      </c>
      <c r="J80" s="115" t="s">
        <v>214</v>
      </c>
      <c r="K80" s="115" t="s">
        <v>39</v>
      </c>
      <c r="L80" s="115" t="s">
        <v>62</v>
      </c>
      <c r="M80" s="130" t="s">
        <v>124</v>
      </c>
      <c r="N80" s="130" t="s">
        <v>383</v>
      </c>
    </row>
    <row r="81" spans="1:14" s="80" customFormat="1" ht="15" customHeight="1">
      <c r="A81" s="791"/>
      <c r="B81" s="791"/>
      <c r="C81" s="792"/>
      <c r="D81" s="77">
        <v>1</v>
      </c>
      <c r="E81" s="21">
        <v>1</v>
      </c>
      <c r="F81" s="75"/>
      <c r="G81" s="75"/>
      <c r="H81" s="21">
        <v>1</v>
      </c>
      <c r="I81" s="22" t="s">
        <v>212</v>
      </c>
      <c r="J81" s="222" t="s">
        <v>427</v>
      </c>
      <c r="K81" s="75">
        <v>2005</v>
      </c>
      <c r="L81" s="22">
        <v>2</v>
      </c>
      <c r="M81" s="151">
        <f aca="true" t="shared" si="4" ref="M81:M94">L81*10</f>
        <v>20</v>
      </c>
      <c r="N81" s="151">
        <v>19.59</v>
      </c>
    </row>
    <row r="82" spans="1:14" s="80" customFormat="1" ht="15" customHeight="1">
      <c r="A82" s="791"/>
      <c r="B82" s="791"/>
      <c r="C82" s="792"/>
      <c r="D82" s="77">
        <v>1</v>
      </c>
      <c r="E82" s="22"/>
      <c r="F82" s="77">
        <v>1</v>
      </c>
      <c r="G82" s="77"/>
      <c r="H82" s="22">
        <v>1</v>
      </c>
      <c r="I82" s="22" t="s">
        <v>212</v>
      </c>
      <c r="J82" s="222" t="s">
        <v>18</v>
      </c>
      <c r="K82" s="222">
        <v>2007</v>
      </c>
      <c r="L82" s="22">
        <v>3</v>
      </c>
      <c r="M82" s="151">
        <f t="shared" si="4"/>
        <v>30</v>
      </c>
      <c r="N82" s="151">
        <v>29.38</v>
      </c>
    </row>
    <row r="83" spans="1:14" s="80" customFormat="1" ht="15" customHeight="1">
      <c r="A83" s="791"/>
      <c r="B83" s="791"/>
      <c r="C83" s="792"/>
      <c r="D83" s="77">
        <v>1</v>
      </c>
      <c r="E83" s="22"/>
      <c r="F83" s="77">
        <v>1</v>
      </c>
      <c r="G83" s="77"/>
      <c r="H83" s="22">
        <v>1</v>
      </c>
      <c r="I83" s="22" t="s">
        <v>212</v>
      </c>
      <c r="J83" s="222" t="s">
        <v>327</v>
      </c>
      <c r="K83" s="78">
        <v>2010</v>
      </c>
      <c r="L83" s="22">
        <v>11</v>
      </c>
      <c r="M83" s="151">
        <f t="shared" si="4"/>
        <v>110</v>
      </c>
      <c r="N83" s="151">
        <v>107.71</v>
      </c>
    </row>
    <row r="84" spans="1:14" s="80" customFormat="1" ht="14.25" customHeight="1">
      <c r="A84" s="791"/>
      <c r="B84" s="791"/>
      <c r="C84" s="792"/>
      <c r="D84" s="77">
        <v>1</v>
      </c>
      <c r="E84" s="22"/>
      <c r="F84" s="77">
        <v>1</v>
      </c>
      <c r="G84" s="77">
        <v>1</v>
      </c>
      <c r="H84" s="22"/>
      <c r="I84" s="22" t="s">
        <v>212</v>
      </c>
      <c r="J84" s="222" t="s">
        <v>212</v>
      </c>
      <c r="K84" s="78">
        <v>2003</v>
      </c>
      <c r="L84" s="22">
        <v>15</v>
      </c>
      <c r="M84" s="151">
        <f t="shared" si="4"/>
        <v>150</v>
      </c>
      <c r="N84" s="151">
        <v>146.88</v>
      </c>
    </row>
    <row r="85" spans="1:14" s="80" customFormat="1" ht="15" customHeight="1">
      <c r="A85" s="791"/>
      <c r="B85" s="791"/>
      <c r="C85" s="792"/>
      <c r="D85" s="77">
        <v>1</v>
      </c>
      <c r="E85" s="22"/>
      <c r="F85" s="77">
        <v>1</v>
      </c>
      <c r="G85" s="77"/>
      <c r="H85" s="22">
        <v>1</v>
      </c>
      <c r="I85" s="22" t="s">
        <v>212</v>
      </c>
      <c r="J85" s="222" t="s">
        <v>427</v>
      </c>
      <c r="K85" s="78">
        <v>2002</v>
      </c>
      <c r="L85" s="22">
        <v>19</v>
      </c>
      <c r="M85" s="151">
        <f t="shared" si="4"/>
        <v>190</v>
      </c>
      <c r="N85" s="151">
        <v>186.05</v>
      </c>
    </row>
    <row r="86" spans="1:14" s="80" customFormat="1" ht="15" customHeight="1">
      <c r="A86" s="791"/>
      <c r="B86" s="791"/>
      <c r="C86" s="792"/>
      <c r="D86" s="77">
        <v>1</v>
      </c>
      <c r="E86" s="22"/>
      <c r="F86" s="77">
        <v>1</v>
      </c>
      <c r="G86" s="77"/>
      <c r="H86" s="22">
        <v>1</v>
      </c>
      <c r="I86" s="22" t="s">
        <v>212</v>
      </c>
      <c r="J86" s="222" t="s">
        <v>427</v>
      </c>
      <c r="K86" s="78">
        <v>2007</v>
      </c>
      <c r="L86" s="22">
        <v>5</v>
      </c>
      <c r="M86" s="151">
        <f t="shared" si="4"/>
        <v>50</v>
      </c>
      <c r="N86" s="151">
        <v>48.96</v>
      </c>
    </row>
    <row r="87" spans="1:14" s="80" customFormat="1" ht="15" customHeight="1">
      <c r="A87" s="791"/>
      <c r="B87" s="791"/>
      <c r="C87" s="792"/>
      <c r="D87" s="77">
        <v>1</v>
      </c>
      <c r="E87" s="22">
        <v>1</v>
      </c>
      <c r="F87" s="77"/>
      <c r="G87" s="77"/>
      <c r="H87" s="22">
        <v>1</v>
      </c>
      <c r="I87" s="22" t="s">
        <v>212</v>
      </c>
      <c r="J87" s="222" t="s">
        <v>18</v>
      </c>
      <c r="K87" s="78">
        <v>2009</v>
      </c>
      <c r="L87" s="22">
        <v>27</v>
      </c>
      <c r="M87" s="151">
        <f t="shared" si="4"/>
        <v>270</v>
      </c>
      <c r="N87" s="151">
        <v>264.38</v>
      </c>
    </row>
    <row r="88" spans="1:14" s="80" customFormat="1" ht="15" customHeight="1">
      <c r="A88" s="791"/>
      <c r="B88" s="791"/>
      <c r="C88" s="792"/>
      <c r="D88" s="77">
        <v>1</v>
      </c>
      <c r="E88" s="22"/>
      <c r="F88" s="77">
        <v>1</v>
      </c>
      <c r="G88" s="77">
        <v>1</v>
      </c>
      <c r="H88" s="22"/>
      <c r="I88" s="22" t="s">
        <v>212</v>
      </c>
      <c r="J88" s="222" t="s">
        <v>137</v>
      </c>
      <c r="K88" s="78">
        <v>2000</v>
      </c>
      <c r="L88" s="22">
        <v>5</v>
      </c>
      <c r="M88" s="151">
        <f t="shared" si="4"/>
        <v>50</v>
      </c>
      <c r="N88" s="151">
        <v>48.96</v>
      </c>
    </row>
    <row r="89" spans="1:14" s="80" customFormat="1" ht="15" customHeight="1">
      <c r="A89" s="791"/>
      <c r="B89" s="791"/>
      <c r="C89" s="792"/>
      <c r="D89" s="77">
        <v>1</v>
      </c>
      <c r="E89" s="22">
        <v>1</v>
      </c>
      <c r="F89" s="77"/>
      <c r="G89" s="77">
        <v>1</v>
      </c>
      <c r="H89" s="22"/>
      <c r="I89" s="22" t="s">
        <v>212</v>
      </c>
      <c r="J89" s="222" t="s">
        <v>137</v>
      </c>
      <c r="K89" s="78">
        <v>1994</v>
      </c>
      <c r="L89" s="22">
        <v>2</v>
      </c>
      <c r="M89" s="151">
        <f t="shared" si="4"/>
        <v>20</v>
      </c>
      <c r="N89" s="151">
        <v>19.58</v>
      </c>
    </row>
    <row r="90" spans="1:14" s="80" customFormat="1" ht="15" customHeight="1">
      <c r="A90" s="791"/>
      <c r="B90" s="791"/>
      <c r="C90" s="792"/>
      <c r="D90" s="77">
        <v>1</v>
      </c>
      <c r="E90" s="22"/>
      <c r="F90" s="77">
        <v>1</v>
      </c>
      <c r="G90" s="77"/>
      <c r="H90" s="22">
        <v>1</v>
      </c>
      <c r="I90" s="22" t="s">
        <v>212</v>
      </c>
      <c r="J90" s="22" t="s">
        <v>18</v>
      </c>
      <c r="K90" s="78">
        <v>2012</v>
      </c>
      <c r="L90" s="22">
        <v>9</v>
      </c>
      <c r="M90" s="151">
        <f t="shared" si="4"/>
        <v>90</v>
      </c>
      <c r="N90" s="151">
        <v>88.13</v>
      </c>
    </row>
    <row r="91" spans="1:14" ht="15" customHeight="1">
      <c r="A91" s="791"/>
      <c r="B91" s="791"/>
      <c r="C91" s="792"/>
      <c r="D91" s="77">
        <v>1</v>
      </c>
      <c r="E91" s="22"/>
      <c r="F91" s="77">
        <v>1</v>
      </c>
      <c r="G91" s="77"/>
      <c r="H91" s="22">
        <v>1</v>
      </c>
      <c r="I91" s="22" t="s">
        <v>212</v>
      </c>
      <c r="J91" s="222" t="s">
        <v>18</v>
      </c>
      <c r="K91" s="78">
        <v>2009</v>
      </c>
      <c r="L91" s="22">
        <v>33</v>
      </c>
      <c r="M91" s="151">
        <f t="shared" si="4"/>
        <v>330</v>
      </c>
      <c r="N91" s="151">
        <v>323.14</v>
      </c>
    </row>
    <row r="92" spans="1:14" ht="15" customHeight="1">
      <c r="A92" s="791"/>
      <c r="B92" s="791"/>
      <c r="C92" s="792"/>
      <c r="D92" s="77">
        <v>1</v>
      </c>
      <c r="E92" s="22"/>
      <c r="F92" s="77">
        <v>1</v>
      </c>
      <c r="G92" s="77">
        <v>1</v>
      </c>
      <c r="H92" s="22"/>
      <c r="I92" s="22" t="s">
        <v>212</v>
      </c>
      <c r="J92" s="222" t="s">
        <v>138</v>
      </c>
      <c r="K92" s="78">
        <v>2000</v>
      </c>
      <c r="L92" s="22">
        <v>10</v>
      </c>
      <c r="M92" s="151">
        <f t="shared" si="4"/>
        <v>100</v>
      </c>
      <c r="N92" s="151">
        <v>97.92</v>
      </c>
    </row>
    <row r="93" spans="1:14" ht="15" customHeight="1">
      <c r="A93" s="791"/>
      <c r="B93" s="791"/>
      <c r="C93" s="792"/>
      <c r="D93" s="255">
        <v>1</v>
      </c>
      <c r="E93" s="22">
        <v>1</v>
      </c>
      <c r="F93" s="77"/>
      <c r="G93" s="77"/>
      <c r="H93" s="22">
        <v>1</v>
      </c>
      <c r="I93" s="222" t="s">
        <v>342</v>
      </c>
      <c r="J93" s="222" t="s">
        <v>342</v>
      </c>
      <c r="K93" s="78">
        <v>1995</v>
      </c>
      <c r="L93" s="22">
        <v>5</v>
      </c>
      <c r="M93" s="151">
        <f t="shared" si="4"/>
        <v>50</v>
      </c>
      <c r="N93" s="151">
        <v>48.96</v>
      </c>
    </row>
    <row r="94" spans="1:14" ht="15" customHeight="1">
      <c r="A94" s="791"/>
      <c r="B94" s="791"/>
      <c r="C94" s="792"/>
      <c r="D94" s="77">
        <v>1</v>
      </c>
      <c r="E94" s="22">
        <v>1</v>
      </c>
      <c r="F94" s="77"/>
      <c r="G94" s="77">
        <v>1</v>
      </c>
      <c r="H94" s="22"/>
      <c r="I94" s="22" t="s">
        <v>212</v>
      </c>
      <c r="J94" s="22" t="s">
        <v>139</v>
      </c>
      <c r="K94" s="78">
        <v>2007</v>
      </c>
      <c r="L94" s="22">
        <v>2</v>
      </c>
      <c r="M94" s="151">
        <f t="shared" si="4"/>
        <v>20</v>
      </c>
      <c r="N94" s="151">
        <v>19.58</v>
      </c>
    </row>
    <row r="95" spans="1:14" s="161" customFormat="1" ht="15" customHeight="1">
      <c r="A95" s="1036" t="s">
        <v>341</v>
      </c>
      <c r="B95" s="1036"/>
      <c r="C95" s="109"/>
      <c r="D95" s="120">
        <f>SUM(D81:D94)</f>
        <v>14</v>
      </c>
      <c r="E95" s="120">
        <f>SUM(E81:E94)</f>
        <v>5</v>
      </c>
      <c r="F95" s="120">
        <f>SUM(F81:F94)</f>
        <v>9</v>
      </c>
      <c r="G95" s="120">
        <f>SUM(G81:G94)</f>
        <v>5</v>
      </c>
      <c r="H95" s="120">
        <f>SUM(H81:H94)</f>
        <v>9</v>
      </c>
      <c r="I95" s="109"/>
      <c r="J95" s="109"/>
      <c r="K95" s="109"/>
      <c r="L95" s="120">
        <f>SUM(L81:L94)</f>
        <v>148</v>
      </c>
      <c r="M95" s="149">
        <f>SUM(M81:M94)</f>
        <v>1480</v>
      </c>
      <c r="N95" s="149">
        <f>SUM(N81:N94)</f>
        <v>1449.2200000000003</v>
      </c>
    </row>
    <row r="96" spans="1:14" s="404" customFormat="1" ht="15" customHeight="1">
      <c r="A96" s="1047" t="s">
        <v>71</v>
      </c>
      <c r="B96" s="1047"/>
      <c r="C96" s="31"/>
      <c r="D96" s="592"/>
      <c r="E96" s="31"/>
      <c r="F96" s="31"/>
      <c r="G96" s="31"/>
      <c r="H96" s="31"/>
      <c r="I96" s="31"/>
      <c r="J96" s="31"/>
      <c r="K96" s="31"/>
      <c r="L96" s="31"/>
      <c r="M96" s="164"/>
      <c r="N96" s="164"/>
    </row>
    <row r="97" spans="1:14" s="50" customFormat="1" ht="48" customHeight="1">
      <c r="A97" s="39" t="s">
        <v>332</v>
      </c>
      <c r="B97" s="39" t="s">
        <v>333</v>
      </c>
      <c r="C97" s="39" t="s">
        <v>213</v>
      </c>
      <c r="D97" s="249" t="s">
        <v>36</v>
      </c>
      <c r="E97" s="115" t="s">
        <v>73</v>
      </c>
      <c r="F97" s="115" t="s">
        <v>74</v>
      </c>
      <c r="G97" s="115" t="s">
        <v>37</v>
      </c>
      <c r="H97" s="115" t="s">
        <v>38</v>
      </c>
      <c r="I97" s="39" t="s">
        <v>15</v>
      </c>
      <c r="J97" s="115" t="s">
        <v>214</v>
      </c>
      <c r="K97" s="115" t="s">
        <v>39</v>
      </c>
      <c r="L97" s="115" t="s">
        <v>62</v>
      </c>
      <c r="M97" s="130" t="s">
        <v>124</v>
      </c>
      <c r="N97" s="130" t="s">
        <v>383</v>
      </c>
    </row>
    <row r="98" spans="1:14" s="80" customFormat="1" ht="15" customHeight="1">
      <c r="A98" s="791"/>
      <c r="B98" s="791"/>
      <c r="C98" s="792"/>
      <c r="D98" s="77">
        <v>1</v>
      </c>
      <c r="E98" s="22">
        <v>1</v>
      </c>
      <c r="F98" s="22"/>
      <c r="G98" s="22"/>
      <c r="H98" s="22">
        <v>1</v>
      </c>
      <c r="I98" s="22" t="s">
        <v>18</v>
      </c>
      <c r="J98" s="222" t="s">
        <v>18</v>
      </c>
      <c r="K98" s="15">
        <v>2004</v>
      </c>
      <c r="L98" s="22">
        <v>22</v>
      </c>
      <c r="M98" s="145">
        <f>L98*10</f>
        <v>220</v>
      </c>
      <c r="N98" s="145">
        <v>215.42</v>
      </c>
    </row>
    <row r="99" spans="1:14" s="80" customFormat="1" ht="15" customHeight="1">
      <c r="A99" s="791"/>
      <c r="B99" s="791"/>
      <c r="C99" s="792"/>
      <c r="D99" s="77">
        <v>1</v>
      </c>
      <c r="E99" s="22">
        <v>1</v>
      </c>
      <c r="F99" s="22"/>
      <c r="G99" s="22"/>
      <c r="H99" s="22">
        <v>1</v>
      </c>
      <c r="I99" s="22" t="s">
        <v>212</v>
      </c>
      <c r="J99" s="222" t="s">
        <v>18</v>
      </c>
      <c r="K99" s="15">
        <v>2009</v>
      </c>
      <c r="L99" s="22">
        <v>23</v>
      </c>
      <c r="M99" s="145">
        <f>L99*10</f>
        <v>230</v>
      </c>
      <c r="N99" s="145">
        <v>225.22</v>
      </c>
    </row>
    <row r="100" spans="1:14" s="411" customFormat="1" ht="15" customHeight="1">
      <c r="A100" s="1052" t="s">
        <v>22</v>
      </c>
      <c r="B100" s="1052"/>
      <c r="C100" s="107"/>
      <c r="D100" s="120">
        <f>SUM(D98:D99)</f>
        <v>2</v>
      </c>
      <c r="E100" s="120">
        <f>SUM(E98:E99)</f>
        <v>2</v>
      </c>
      <c r="F100" s="120">
        <f>SUM(F98:F99)</f>
        <v>0</v>
      </c>
      <c r="G100" s="120">
        <f>SUM(G98:G99)</f>
        <v>0</v>
      </c>
      <c r="H100" s="120">
        <f>SUM(H98:H99)</f>
        <v>2</v>
      </c>
      <c r="I100" s="107"/>
      <c r="J100" s="107"/>
      <c r="K100" s="107"/>
      <c r="L100" s="107">
        <f>SUM(L98:L99)</f>
        <v>45</v>
      </c>
      <c r="M100" s="149">
        <f>SUM(M98:M99)</f>
        <v>450</v>
      </c>
      <c r="N100" s="149">
        <f>SUM(N98:N99)</f>
        <v>440.64</v>
      </c>
    </row>
    <row r="101" spans="1:14" s="404" customFormat="1" ht="15" customHeight="1">
      <c r="A101" s="1047" t="s">
        <v>72</v>
      </c>
      <c r="B101" s="1047"/>
      <c r="C101" s="31"/>
      <c r="D101" s="592"/>
      <c r="E101" s="31"/>
      <c r="F101" s="31"/>
      <c r="G101" s="31"/>
      <c r="H101" s="31"/>
      <c r="I101" s="31"/>
      <c r="J101" s="31"/>
      <c r="K101" s="31"/>
      <c r="L101" s="31"/>
      <c r="M101" s="164"/>
      <c r="N101" s="164"/>
    </row>
    <row r="102" spans="1:14" s="50" customFormat="1" ht="48" customHeight="1">
      <c r="A102" s="39" t="s">
        <v>332</v>
      </c>
      <c r="B102" s="39" t="s">
        <v>333</v>
      </c>
      <c r="C102" s="39" t="s">
        <v>213</v>
      </c>
      <c r="D102" s="249" t="s">
        <v>36</v>
      </c>
      <c r="E102" s="115" t="s">
        <v>73</v>
      </c>
      <c r="F102" s="115" t="s">
        <v>74</v>
      </c>
      <c r="G102" s="115" t="s">
        <v>37</v>
      </c>
      <c r="H102" s="115" t="s">
        <v>38</v>
      </c>
      <c r="I102" s="39" t="s">
        <v>15</v>
      </c>
      <c r="J102" s="115" t="s">
        <v>214</v>
      </c>
      <c r="K102" s="115" t="s">
        <v>39</v>
      </c>
      <c r="L102" s="115" t="s">
        <v>62</v>
      </c>
      <c r="M102" s="130" t="s">
        <v>124</v>
      </c>
      <c r="N102" s="130" t="s">
        <v>383</v>
      </c>
    </row>
    <row r="103" spans="1:14" s="80" customFormat="1" ht="16.5" customHeight="1">
      <c r="A103" s="784"/>
      <c r="B103" s="791"/>
      <c r="C103" s="792"/>
      <c r="D103" s="22">
        <v>1</v>
      </c>
      <c r="E103" s="22"/>
      <c r="F103" s="22">
        <v>1</v>
      </c>
      <c r="G103" s="22">
        <v>1</v>
      </c>
      <c r="H103" s="22"/>
      <c r="I103" s="22" t="s">
        <v>212</v>
      </c>
      <c r="J103" s="222" t="s">
        <v>115</v>
      </c>
      <c r="K103" s="15">
        <v>2001</v>
      </c>
      <c r="L103" s="22">
        <v>22</v>
      </c>
      <c r="M103" s="145">
        <f aca="true" t="shared" si="5" ref="M103:M118">L103*10</f>
        <v>220</v>
      </c>
      <c r="N103" s="145">
        <v>215.42</v>
      </c>
    </row>
    <row r="104" spans="1:14" s="80" customFormat="1" ht="16.5" customHeight="1">
      <c r="A104" s="791"/>
      <c r="B104" s="791"/>
      <c r="C104" s="792"/>
      <c r="D104" s="77">
        <v>1</v>
      </c>
      <c r="E104" s="22"/>
      <c r="F104" s="22">
        <v>1</v>
      </c>
      <c r="G104" s="22"/>
      <c r="H104" s="22">
        <v>1</v>
      </c>
      <c r="I104" s="22" t="s">
        <v>18</v>
      </c>
      <c r="J104" s="222" t="s">
        <v>18</v>
      </c>
      <c r="K104" s="15">
        <v>2007</v>
      </c>
      <c r="L104" s="22">
        <v>7</v>
      </c>
      <c r="M104" s="145">
        <f t="shared" si="5"/>
        <v>70</v>
      </c>
      <c r="N104" s="145">
        <v>68.54</v>
      </c>
    </row>
    <row r="105" spans="1:14" s="80" customFormat="1" ht="15" customHeight="1">
      <c r="A105" s="791"/>
      <c r="B105" s="791"/>
      <c r="C105" s="792"/>
      <c r="D105" s="77">
        <v>1</v>
      </c>
      <c r="E105" s="22">
        <v>1</v>
      </c>
      <c r="F105" s="22"/>
      <c r="G105" s="22"/>
      <c r="H105" s="22">
        <v>1</v>
      </c>
      <c r="I105" s="22" t="s">
        <v>212</v>
      </c>
      <c r="J105" s="222" t="s">
        <v>18</v>
      </c>
      <c r="K105" s="15">
        <v>2008</v>
      </c>
      <c r="L105" s="22">
        <v>5</v>
      </c>
      <c r="M105" s="145">
        <f t="shared" si="5"/>
        <v>50</v>
      </c>
      <c r="N105" s="145">
        <v>48.96</v>
      </c>
    </row>
    <row r="106" spans="1:14" s="80" customFormat="1" ht="15" customHeight="1">
      <c r="A106" s="791"/>
      <c r="B106" s="791"/>
      <c r="C106" s="790"/>
      <c r="D106" s="77">
        <v>1</v>
      </c>
      <c r="E106" s="22"/>
      <c r="F106" s="22">
        <v>1</v>
      </c>
      <c r="G106" s="22"/>
      <c r="H106" s="22">
        <v>1</v>
      </c>
      <c r="I106" s="22" t="s">
        <v>212</v>
      </c>
      <c r="J106" s="22" t="s">
        <v>18</v>
      </c>
      <c r="K106" s="22">
        <v>2005</v>
      </c>
      <c r="L106" s="22">
        <v>5</v>
      </c>
      <c r="M106" s="145">
        <f t="shared" si="5"/>
        <v>50</v>
      </c>
      <c r="N106" s="145">
        <v>48.96</v>
      </c>
    </row>
    <row r="107" spans="1:14" s="80" customFormat="1" ht="15" customHeight="1">
      <c r="A107" s="791"/>
      <c r="B107" s="799"/>
      <c r="C107" s="792"/>
      <c r="D107" s="77">
        <v>1</v>
      </c>
      <c r="E107" s="22">
        <v>1</v>
      </c>
      <c r="F107" s="22"/>
      <c r="G107" s="22">
        <v>1</v>
      </c>
      <c r="H107" s="22"/>
      <c r="I107" s="22" t="s">
        <v>212</v>
      </c>
      <c r="J107" s="22" t="s">
        <v>212</v>
      </c>
      <c r="K107" s="15">
        <v>2003</v>
      </c>
      <c r="L107" s="22">
        <v>3</v>
      </c>
      <c r="M107" s="145">
        <f t="shared" si="5"/>
        <v>30</v>
      </c>
      <c r="N107" s="145">
        <v>29.38</v>
      </c>
    </row>
    <row r="108" spans="1:14" s="80" customFormat="1" ht="15" customHeight="1">
      <c r="A108" s="791"/>
      <c r="B108" s="791"/>
      <c r="C108" s="792"/>
      <c r="D108" s="77">
        <v>1</v>
      </c>
      <c r="E108" s="22"/>
      <c r="F108" s="22">
        <v>1</v>
      </c>
      <c r="G108" s="22"/>
      <c r="H108" s="22">
        <v>1</v>
      </c>
      <c r="I108" s="22" t="s">
        <v>21</v>
      </c>
      <c r="J108" s="222" t="s">
        <v>21</v>
      </c>
      <c r="K108" s="15">
        <v>1996</v>
      </c>
      <c r="L108" s="22">
        <v>6</v>
      </c>
      <c r="M108" s="145">
        <f t="shared" si="5"/>
        <v>60</v>
      </c>
      <c r="N108" s="145">
        <v>58.75</v>
      </c>
    </row>
    <row r="109" spans="1:14" s="80" customFormat="1" ht="15" customHeight="1">
      <c r="A109" s="791"/>
      <c r="B109" s="791"/>
      <c r="C109" s="792"/>
      <c r="D109" s="77">
        <v>1</v>
      </c>
      <c r="E109" s="22">
        <v>1</v>
      </c>
      <c r="F109" s="22"/>
      <c r="G109" s="22"/>
      <c r="H109" s="22">
        <v>1</v>
      </c>
      <c r="I109" s="22" t="s">
        <v>343</v>
      </c>
      <c r="J109" s="222" t="s">
        <v>343</v>
      </c>
      <c r="K109" s="15">
        <v>1999</v>
      </c>
      <c r="L109" s="22">
        <v>3</v>
      </c>
      <c r="M109" s="145">
        <f t="shared" si="5"/>
        <v>30</v>
      </c>
      <c r="N109" s="145">
        <v>29.38</v>
      </c>
    </row>
    <row r="110" spans="1:14" s="80" customFormat="1" ht="15" customHeight="1">
      <c r="A110" s="791"/>
      <c r="B110" s="791"/>
      <c r="C110" s="792"/>
      <c r="D110" s="77">
        <v>1</v>
      </c>
      <c r="E110" s="22">
        <v>1</v>
      </c>
      <c r="F110" s="22"/>
      <c r="G110" s="22"/>
      <c r="H110" s="22">
        <v>1</v>
      </c>
      <c r="I110" s="22" t="s">
        <v>212</v>
      </c>
      <c r="J110" s="222" t="s">
        <v>18</v>
      </c>
      <c r="K110" s="15">
        <v>2004</v>
      </c>
      <c r="L110" s="22">
        <v>8</v>
      </c>
      <c r="M110" s="145">
        <f t="shared" si="5"/>
        <v>80</v>
      </c>
      <c r="N110" s="145">
        <v>78.33</v>
      </c>
    </row>
    <row r="111" spans="1:14" s="80" customFormat="1" ht="15" customHeight="1">
      <c r="A111" s="791"/>
      <c r="B111" s="791"/>
      <c r="C111" s="792"/>
      <c r="D111" s="77">
        <v>1</v>
      </c>
      <c r="E111" s="22"/>
      <c r="F111" s="22">
        <v>1</v>
      </c>
      <c r="G111" s="22"/>
      <c r="H111" s="22">
        <v>1</v>
      </c>
      <c r="I111" s="22" t="s">
        <v>212</v>
      </c>
      <c r="J111" s="222" t="s">
        <v>20</v>
      </c>
      <c r="K111" s="15">
        <v>2000</v>
      </c>
      <c r="L111" s="22">
        <v>5</v>
      </c>
      <c r="M111" s="145">
        <f t="shared" si="5"/>
        <v>50</v>
      </c>
      <c r="N111" s="145">
        <v>48.96</v>
      </c>
    </row>
    <row r="112" spans="1:14" s="80" customFormat="1" ht="15" customHeight="1">
      <c r="A112" s="791"/>
      <c r="B112" s="791"/>
      <c r="C112" s="792"/>
      <c r="D112" s="77">
        <v>1</v>
      </c>
      <c r="E112" s="22">
        <v>1</v>
      </c>
      <c r="F112" s="22"/>
      <c r="G112" s="22">
        <v>1</v>
      </c>
      <c r="H112" s="22"/>
      <c r="I112" s="222" t="s">
        <v>212</v>
      </c>
      <c r="J112" s="222" t="s">
        <v>212</v>
      </c>
      <c r="K112" s="15">
        <v>2005</v>
      </c>
      <c r="L112" s="22">
        <v>27</v>
      </c>
      <c r="M112" s="145">
        <f t="shared" si="5"/>
        <v>270</v>
      </c>
      <c r="N112" s="145">
        <v>264.38</v>
      </c>
    </row>
    <row r="113" spans="1:14" s="80" customFormat="1" ht="15" customHeight="1">
      <c r="A113" s="791"/>
      <c r="B113" s="791"/>
      <c r="C113" s="792"/>
      <c r="D113" s="77">
        <v>1</v>
      </c>
      <c r="E113" s="22"/>
      <c r="F113" s="22">
        <v>1</v>
      </c>
      <c r="G113" s="22"/>
      <c r="H113" s="22">
        <v>1</v>
      </c>
      <c r="I113" s="222" t="s">
        <v>212</v>
      </c>
      <c r="J113" s="222" t="s">
        <v>18</v>
      </c>
      <c r="K113" s="15">
        <v>2011</v>
      </c>
      <c r="L113" s="22">
        <v>20</v>
      </c>
      <c r="M113" s="145">
        <f t="shared" si="5"/>
        <v>200</v>
      </c>
      <c r="N113" s="145">
        <v>195.84</v>
      </c>
    </row>
    <row r="114" spans="1:14" s="80" customFormat="1" ht="15" customHeight="1">
      <c r="A114" s="791"/>
      <c r="B114" s="791"/>
      <c r="C114" s="792"/>
      <c r="D114" s="77">
        <v>1</v>
      </c>
      <c r="E114" s="22">
        <v>1</v>
      </c>
      <c r="F114" s="22"/>
      <c r="G114" s="22"/>
      <c r="H114" s="22">
        <v>1</v>
      </c>
      <c r="I114" s="22" t="s">
        <v>212</v>
      </c>
      <c r="J114" s="222" t="s">
        <v>18</v>
      </c>
      <c r="K114" s="15">
        <v>2010</v>
      </c>
      <c r="L114" s="22">
        <f>4+4+3+5+5+5</f>
        <v>26</v>
      </c>
      <c r="M114" s="145">
        <f t="shared" si="5"/>
        <v>260</v>
      </c>
      <c r="N114" s="145">
        <v>254.6</v>
      </c>
    </row>
    <row r="115" spans="1:14" s="80" customFormat="1" ht="15" customHeight="1">
      <c r="A115" s="791"/>
      <c r="B115" s="791"/>
      <c r="C115" s="792"/>
      <c r="D115" s="77">
        <v>1</v>
      </c>
      <c r="E115" s="22">
        <v>1</v>
      </c>
      <c r="F115" s="22"/>
      <c r="G115" s="22">
        <v>1</v>
      </c>
      <c r="H115" s="22"/>
      <c r="I115" s="22" t="s">
        <v>212</v>
      </c>
      <c r="J115" s="222" t="s">
        <v>423</v>
      </c>
      <c r="K115" s="222">
        <v>2006</v>
      </c>
      <c r="L115" s="22">
        <v>3</v>
      </c>
      <c r="M115" s="145">
        <f t="shared" si="5"/>
        <v>30</v>
      </c>
      <c r="N115" s="145">
        <v>29.38</v>
      </c>
    </row>
    <row r="116" spans="1:14" s="80" customFormat="1" ht="15" customHeight="1">
      <c r="A116" s="791"/>
      <c r="B116" s="791"/>
      <c r="C116" s="792"/>
      <c r="D116" s="77">
        <v>1</v>
      </c>
      <c r="E116" s="22">
        <v>1</v>
      </c>
      <c r="F116" s="22"/>
      <c r="G116" s="22">
        <v>1</v>
      </c>
      <c r="H116" s="22"/>
      <c r="I116" s="22" t="s">
        <v>212</v>
      </c>
      <c r="J116" s="222" t="s">
        <v>501</v>
      </c>
      <c r="K116" s="15">
        <v>1998</v>
      </c>
      <c r="L116" s="22">
        <v>5</v>
      </c>
      <c r="M116" s="145">
        <f t="shared" si="5"/>
        <v>50</v>
      </c>
      <c r="N116" s="145">
        <v>48.96</v>
      </c>
    </row>
    <row r="117" spans="1:14" s="80" customFormat="1" ht="15" customHeight="1">
      <c r="A117" s="791"/>
      <c r="B117" s="791"/>
      <c r="C117" s="790"/>
      <c r="D117" s="77">
        <v>1</v>
      </c>
      <c r="E117" s="22"/>
      <c r="F117" s="22">
        <v>1</v>
      </c>
      <c r="G117" s="22"/>
      <c r="H117" s="22">
        <v>1</v>
      </c>
      <c r="I117" s="22" t="s">
        <v>20</v>
      </c>
      <c r="J117" s="22" t="s">
        <v>20</v>
      </c>
      <c r="K117" s="22">
        <v>2005</v>
      </c>
      <c r="L117" s="22">
        <v>15</v>
      </c>
      <c r="M117" s="145">
        <f t="shared" si="5"/>
        <v>150</v>
      </c>
      <c r="N117" s="145">
        <v>146.88</v>
      </c>
    </row>
    <row r="118" spans="1:14" s="80" customFormat="1" ht="15" customHeight="1">
      <c r="A118" s="791"/>
      <c r="B118" s="791"/>
      <c r="C118" s="792"/>
      <c r="D118" s="77">
        <v>1</v>
      </c>
      <c r="E118" s="22">
        <v>1</v>
      </c>
      <c r="F118" s="22"/>
      <c r="G118" s="22">
        <v>1</v>
      </c>
      <c r="H118" s="22"/>
      <c r="I118" s="22" t="s">
        <v>212</v>
      </c>
      <c r="J118" s="222" t="s">
        <v>134</v>
      </c>
      <c r="K118" s="15">
        <v>2007</v>
      </c>
      <c r="L118" s="22">
        <v>20</v>
      </c>
      <c r="M118" s="145">
        <f t="shared" si="5"/>
        <v>200</v>
      </c>
      <c r="N118" s="145">
        <v>195.84</v>
      </c>
    </row>
    <row r="119" spans="1:14" s="161" customFormat="1" ht="15" customHeight="1">
      <c r="A119" s="1036" t="s">
        <v>328</v>
      </c>
      <c r="B119" s="1036"/>
      <c r="C119" s="109"/>
      <c r="D119" s="120">
        <f>SUM(D103:D118)</f>
        <v>16</v>
      </c>
      <c r="E119" s="120">
        <f>SUM(E103:E118)</f>
        <v>9</v>
      </c>
      <c r="F119" s="120">
        <f>SUM(F103:F118)</f>
        <v>7</v>
      </c>
      <c r="G119" s="120">
        <f>SUM(G103:G118)</f>
        <v>6</v>
      </c>
      <c r="H119" s="120">
        <f>SUM(H103:H118)</f>
        <v>10</v>
      </c>
      <c r="I119" s="109"/>
      <c r="J119" s="109"/>
      <c r="K119" s="109"/>
      <c r="L119" s="120">
        <f>SUM(L103:L118)</f>
        <v>180</v>
      </c>
      <c r="M119" s="149">
        <f>SUM(M103:M118)</f>
        <v>1800</v>
      </c>
      <c r="N119" s="149">
        <f>SUM(N103:N118)</f>
        <v>1762.5599999999997</v>
      </c>
    </row>
    <row r="120" spans="1:14" s="404" customFormat="1" ht="15" customHeight="1">
      <c r="A120" s="1047" t="s">
        <v>250</v>
      </c>
      <c r="B120" s="1047"/>
      <c r="C120" s="31"/>
      <c r="D120" s="592"/>
      <c r="E120" s="31"/>
      <c r="F120" s="31"/>
      <c r="G120" s="31"/>
      <c r="H120" s="31"/>
      <c r="I120" s="31"/>
      <c r="J120" s="31"/>
      <c r="K120" s="31"/>
      <c r="L120" s="31"/>
      <c r="M120" s="164"/>
      <c r="N120" s="164"/>
    </row>
    <row r="121" spans="1:14" s="50" customFormat="1" ht="48" customHeight="1">
      <c r="A121" s="39" t="s">
        <v>332</v>
      </c>
      <c r="B121" s="39" t="s">
        <v>333</v>
      </c>
      <c r="C121" s="39" t="s">
        <v>213</v>
      </c>
      <c r="D121" s="249" t="s">
        <v>36</v>
      </c>
      <c r="E121" s="115" t="s">
        <v>73</v>
      </c>
      <c r="F121" s="115" t="s">
        <v>74</v>
      </c>
      <c r="G121" s="115" t="s">
        <v>37</v>
      </c>
      <c r="H121" s="115" t="s">
        <v>38</v>
      </c>
      <c r="I121" s="39" t="s">
        <v>15</v>
      </c>
      <c r="J121" s="115" t="s">
        <v>214</v>
      </c>
      <c r="K121" s="115" t="s">
        <v>39</v>
      </c>
      <c r="L121" s="115" t="s">
        <v>62</v>
      </c>
      <c r="M121" s="130" t="s">
        <v>124</v>
      </c>
      <c r="N121" s="130" t="s">
        <v>383</v>
      </c>
    </row>
    <row r="122" spans="1:23" s="241" customFormat="1" ht="15" customHeight="1">
      <c r="A122" s="802"/>
      <c r="B122" s="802"/>
      <c r="C122" s="792"/>
      <c r="D122" s="77">
        <v>1</v>
      </c>
      <c r="E122" s="22">
        <v>1</v>
      </c>
      <c r="F122" s="86"/>
      <c r="G122" s="86"/>
      <c r="H122" s="22">
        <v>1</v>
      </c>
      <c r="I122" s="22" t="s">
        <v>212</v>
      </c>
      <c r="J122" s="222" t="s">
        <v>427</v>
      </c>
      <c r="K122" s="222">
        <v>2006</v>
      </c>
      <c r="L122" s="134">
        <v>10</v>
      </c>
      <c r="M122" s="145">
        <f>L122*10</f>
        <v>100</v>
      </c>
      <c r="N122" s="145">
        <v>97.92</v>
      </c>
      <c r="O122" s="236"/>
      <c r="P122" s="236"/>
      <c r="Q122" s="237"/>
      <c r="R122" s="238"/>
      <c r="S122" s="239"/>
      <c r="T122" s="240"/>
      <c r="U122" s="240"/>
      <c r="V122" s="240"/>
      <c r="W122" s="240"/>
    </row>
    <row r="123" spans="1:23" s="245" customFormat="1" ht="15" customHeight="1">
      <c r="A123" s="1035" t="s">
        <v>251</v>
      </c>
      <c r="B123" s="1035"/>
      <c r="C123" s="109"/>
      <c r="D123" s="120">
        <v>1</v>
      </c>
      <c r="E123" s="120">
        <v>1</v>
      </c>
      <c r="F123" s="109"/>
      <c r="G123" s="109"/>
      <c r="H123" s="120">
        <f>SUM(H122)</f>
        <v>1</v>
      </c>
      <c r="I123" s="109"/>
      <c r="J123" s="109"/>
      <c r="K123" s="109"/>
      <c r="L123" s="108">
        <f>SUM(L122:L122)</f>
        <v>10</v>
      </c>
      <c r="M123" s="149">
        <f>SUM(M122)</f>
        <v>100</v>
      </c>
      <c r="N123" s="149">
        <f>SUM(N122)</f>
        <v>97.92</v>
      </c>
      <c r="O123" s="242"/>
      <c r="P123" s="242"/>
      <c r="Q123" s="242"/>
      <c r="R123" s="243"/>
      <c r="S123" s="243"/>
      <c r="T123" s="244"/>
      <c r="U123" s="244"/>
      <c r="V123" s="244"/>
      <c r="W123" s="244"/>
    </row>
    <row r="124" spans="1:14" s="162" customFormat="1" ht="15" customHeight="1">
      <c r="A124" s="1037" t="s">
        <v>227</v>
      </c>
      <c r="B124" s="1037"/>
      <c r="C124" s="100"/>
      <c r="D124" s="101">
        <f>D123+D119+D100+D95+D78+D68+D57+D51+D8</f>
        <v>90</v>
      </c>
      <c r="E124" s="101">
        <f>E123+E119+E100+E95+E78+E68+E57+E51+E8</f>
        <v>43</v>
      </c>
      <c r="F124" s="101">
        <f>F123+F119+F100+F95+F78+F68+F57+F51+F8</f>
        <v>47</v>
      </c>
      <c r="G124" s="101">
        <f>G123+G119+G100+G95+G78+G68+G57+G51+G8</f>
        <v>24</v>
      </c>
      <c r="H124" s="101">
        <f>H123+H119+H100+H95+H78+H68+H57+H51+H8</f>
        <v>66</v>
      </c>
      <c r="I124" s="100"/>
      <c r="J124" s="100"/>
      <c r="K124" s="100"/>
      <c r="L124" s="101">
        <f>L119+L100+L95+L78+L68+L57+L51+L8+L123</f>
        <v>913</v>
      </c>
      <c r="M124" s="150">
        <f>M123+M119+M100+M95+M78+M68+M57+M51+M8</f>
        <v>9130</v>
      </c>
      <c r="N124" s="150">
        <f>N123+N119+N100+N95+N78+N68+N57+N51+N8</f>
        <v>8940.098</v>
      </c>
    </row>
    <row r="129" spans="1:12" ht="12.75">
      <c r="A129" s="81"/>
      <c r="B129" s="81"/>
      <c r="C129" s="81"/>
      <c r="E129" s="81"/>
      <c r="F129" s="81"/>
      <c r="G129" s="81"/>
      <c r="H129" s="81"/>
      <c r="I129" s="81"/>
      <c r="J129" s="81"/>
      <c r="K129" s="81"/>
      <c r="L129" s="81"/>
    </row>
  </sheetData>
  <mergeCells count="23">
    <mergeCell ref="A96:B96"/>
    <mergeCell ref="A100:B100"/>
    <mergeCell ref="A124:B124"/>
    <mergeCell ref="A101:B101"/>
    <mergeCell ref="A119:B119"/>
    <mergeCell ref="A120:B120"/>
    <mergeCell ref="A123:B123"/>
    <mergeCell ref="A68:B68"/>
    <mergeCell ref="A72:B72"/>
    <mergeCell ref="A79:B79"/>
    <mergeCell ref="A95:B95"/>
    <mergeCell ref="A69:B69"/>
    <mergeCell ref="A71:B71"/>
    <mergeCell ref="A2:N2"/>
    <mergeCell ref="A1:M1"/>
    <mergeCell ref="A3:B3"/>
    <mergeCell ref="A78:B78"/>
    <mergeCell ref="A8:B8"/>
    <mergeCell ref="A9:B9"/>
    <mergeCell ref="A51:B51"/>
    <mergeCell ref="A52:B52"/>
    <mergeCell ref="A57:B57"/>
    <mergeCell ref="A58:B5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Q365"/>
  <sheetViews>
    <sheetView workbookViewId="0" topLeftCell="B1">
      <selection activeCell="A354" sqref="A354:C356"/>
    </sheetView>
  </sheetViews>
  <sheetFormatPr defaultColWidth="9.140625" defaultRowHeight="12.75"/>
  <cols>
    <col min="1" max="1" width="20.7109375" style="24" customWidth="1"/>
    <col min="2" max="2" width="25.8515625" style="24" customWidth="1"/>
    <col min="3" max="3" width="20.7109375" style="267" customWidth="1"/>
    <col min="4" max="4" width="7.57421875" style="24" customWidth="1"/>
    <col min="5" max="6" width="5.7109375" style="24" customWidth="1"/>
    <col min="7" max="7" width="9.7109375" style="24" customWidth="1"/>
    <col min="8" max="8" width="9.7109375" style="81" customWidth="1"/>
    <col min="9" max="9" width="13.7109375" style="24" customWidth="1"/>
    <col min="10" max="10" width="16.7109375" style="267" customWidth="1"/>
    <col min="11" max="11" width="10.140625" style="24" customWidth="1"/>
    <col min="12" max="12" width="19.140625" style="168" customWidth="1"/>
    <col min="13" max="15" width="14.7109375" style="168" customWidth="1"/>
    <col min="16" max="16" width="11.57421875" style="54" customWidth="1"/>
    <col min="17" max="17" width="14.421875" style="54" customWidth="1"/>
    <col min="18" max="16384" width="11.57421875" style="54" customWidth="1"/>
  </cols>
  <sheetData>
    <row r="1" spans="1:15" s="48" customFormat="1" ht="30" customHeight="1">
      <c r="A1" s="1060" t="s">
        <v>255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</row>
    <row r="2" spans="1:15" s="49" customFormat="1" ht="45" customHeight="1">
      <c r="A2" s="1044" t="s">
        <v>116</v>
      </c>
      <c r="B2" s="1044"/>
      <c r="C2" s="1044"/>
      <c r="D2" s="1044"/>
      <c r="E2" s="1044"/>
      <c r="F2" s="1044"/>
      <c r="G2" s="1044"/>
      <c r="H2" s="1044"/>
      <c r="I2" s="1061"/>
      <c r="J2" s="1061"/>
      <c r="K2" s="1061"/>
      <c r="L2" s="1061"/>
      <c r="M2" s="1061"/>
      <c r="N2" s="1061"/>
      <c r="O2" s="1061"/>
    </row>
    <row r="3" spans="1:15" ht="15" customHeight="1">
      <c r="A3" s="1056" t="s">
        <v>66</v>
      </c>
      <c r="B3" s="1057"/>
      <c r="C3" s="273"/>
      <c r="D3" s="248"/>
      <c r="E3" s="231"/>
      <c r="F3" s="231"/>
      <c r="G3" s="117"/>
      <c r="H3" s="117"/>
      <c r="I3" s="117"/>
      <c r="J3" s="231"/>
      <c r="K3" s="232"/>
      <c r="L3" s="39"/>
      <c r="M3" s="117"/>
      <c r="N3" s="117"/>
      <c r="O3" s="277"/>
    </row>
    <row r="4" spans="1:15" s="50" customFormat="1" ht="48" customHeight="1">
      <c r="A4" s="39" t="s">
        <v>332</v>
      </c>
      <c r="B4" s="39" t="s">
        <v>333</v>
      </c>
      <c r="C4" s="39" t="s">
        <v>213</v>
      </c>
      <c r="D4" s="115" t="s">
        <v>36</v>
      </c>
      <c r="E4" s="115" t="s">
        <v>73</v>
      </c>
      <c r="F4" s="115" t="s">
        <v>74</v>
      </c>
      <c r="G4" s="115" t="s">
        <v>37</v>
      </c>
      <c r="H4" s="268" t="s">
        <v>38</v>
      </c>
      <c r="I4" s="39" t="s">
        <v>15</v>
      </c>
      <c r="J4" s="115" t="s">
        <v>214</v>
      </c>
      <c r="K4" s="115" t="s">
        <v>39</v>
      </c>
      <c r="L4" s="130" t="s">
        <v>63</v>
      </c>
      <c r="M4" s="130" t="s">
        <v>149</v>
      </c>
      <c r="N4" s="130" t="s">
        <v>167</v>
      </c>
      <c r="O4" s="130" t="s">
        <v>58</v>
      </c>
    </row>
    <row r="5" spans="1:15" s="63" customFormat="1" ht="15" customHeight="1">
      <c r="A5" s="803"/>
      <c r="B5" s="804"/>
      <c r="C5" s="805"/>
      <c r="D5" s="96">
        <v>1</v>
      </c>
      <c r="E5" s="96"/>
      <c r="F5" s="96">
        <v>1</v>
      </c>
      <c r="G5" s="96"/>
      <c r="H5" s="269">
        <v>1</v>
      </c>
      <c r="I5" s="224" t="s">
        <v>18</v>
      </c>
      <c r="J5" s="224" t="s">
        <v>18</v>
      </c>
      <c r="K5" s="96">
        <v>1996</v>
      </c>
      <c r="L5" s="225">
        <v>0</v>
      </c>
      <c r="M5" s="166">
        <v>0</v>
      </c>
      <c r="N5" s="166">
        <v>250</v>
      </c>
      <c r="O5" s="166">
        <f aca="true" t="shared" si="0" ref="O5:O21">L5+M5+N5</f>
        <v>250</v>
      </c>
    </row>
    <row r="6" spans="1:15" s="63" customFormat="1" ht="15" customHeight="1">
      <c r="A6" s="806"/>
      <c r="B6" s="807"/>
      <c r="C6" s="808"/>
      <c r="D6" s="21">
        <v>1</v>
      </c>
      <c r="E6" s="351"/>
      <c r="F6" s="351">
        <v>1</v>
      </c>
      <c r="G6" s="351"/>
      <c r="H6" s="250">
        <v>1</v>
      </c>
      <c r="I6" s="358" t="s">
        <v>212</v>
      </c>
      <c r="J6" s="358" t="s">
        <v>427</v>
      </c>
      <c r="K6" s="21">
        <v>2003</v>
      </c>
      <c r="L6" s="143">
        <v>0</v>
      </c>
      <c r="M6" s="145">
        <v>600</v>
      </c>
      <c r="N6" s="145">
        <v>0</v>
      </c>
      <c r="O6" s="166">
        <f t="shared" si="0"/>
        <v>600</v>
      </c>
    </row>
    <row r="7" spans="1:15" s="63" customFormat="1" ht="15" customHeight="1">
      <c r="A7" s="806"/>
      <c r="B7" s="807"/>
      <c r="C7" s="808"/>
      <c r="D7" s="21">
        <v>1</v>
      </c>
      <c r="E7" s="21"/>
      <c r="F7" s="351">
        <v>1</v>
      </c>
      <c r="G7" s="351"/>
      <c r="H7" s="351">
        <v>1</v>
      </c>
      <c r="I7" s="358" t="s">
        <v>212</v>
      </c>
      <c r="J7" s="358" t="s">
        <v>326</v>
      </c>
      <c r="K7" s="21">
        <v>2001</v>
      </c>
      <c r="L7" s="143">
        <v>0</v>
      </c>
      <c r="M7" s="145">
        <v>1650</v>
      </c>
      <c r="N7" s="145">
        <v>0</v>
      </c>
      <c r="O7" s="166">
        <f t="shared" si="0"/>
        <v>1650</v>
      </c>
    </row>
    <row r="8" spans="1:15" s="63" customFormat="1" ht="15" customHeight="1">
      <c r="A8" s="806"/>
      <c r="B8" s="807"/>
      <c r="C8" s="808"/>
      <c r="D8" s="21">
        <v>1</v>
      </c>
      <c r="E8" s="351">
        <v>1</v>
      </c>
      <c r="F8" s="351"/>
      <c r="G8" s="351"/>
      <c r="H8" s="351">
        <v>1</v>
      </c>
      <c r="I8" s="358" t="s">
        <v>212</v>
      </c>
      <c r="J8" s="358" t="s">
        <v>18</v>
      </c>
      <c r="K8" s="21">
        <v>2004</v>
      </c>
      <c r="L8" s="143">
        <v>0</v>
      </c>
      <c r="M8" s="145">
        <v>750</v>
      </c>
      <c r="N8" s="145">
        <v>0</v>
      </c>
      <c r="O8" s="166">
        <f t="shared" si="0"/>
        <v>750</v>
      </c>
    </row>
    <row r="9" spans="1:15" s="63" customFormat="1" ht="15" customHeight="1">
      <c r="A9" s="806"/>
      <c r="B9" s="807"/>
      <c r="C9" s="808"/>
      <c r="D9" s="21">
        <v>1</v>
      </c>
      <c r="E9" s="351">
        <v>1</v>
      </c>
      <c r="F9" s="351"/>
      <c r="G9" s="351"/>
      <c r="H9" s="351">
        <v>1</v>
      </c>
      <c r="I9" s="358" t="s">
        <v>212</v>
      </c>
      <c r="J9" s="358" t="s">
        <v>18</v>
      </c>
      <c r="K9" s="21">
        <v>2009</v>
      </c>
      <c r="L9" s="143">
        <v>0</v>
      </c>
      <c r="M9" s="145">
        <v>1323</v>
      </c>
      <c r="N9" s="145">
        <v>0</v>
      </c>
      <c r="O9" s="166">
        <f t="shared" si="0"/>
        <v>1323</v>
      </c>
    </row>
    <row r="10" spans="1:15" s="63" customFormat="1" ht="15" customHeight="1">
      <c r="A10" s="806"/>
      <c r="B10" s="807"/>
      <c r="C10" s="808"/>
      <c r="D10" s="21">
        <v>1</v>
      </c>
      <c r="E10" s="351"/>
      <c r="F10" s="351">
        <v>1</v>
      </c>
      <c r="G10" s="351"/>
      <c r="H10" s="351">
        <v>1</v>
      </c>
      <c r="I10" s="358" t="s">
        <v>212</v>
      </c>
      <c r="J10" s="358" t="s">
        <v>31</v>
      </c>
      <c r="K10" s="21">
        <v>2001</v>
      </c>
      <c r="L10" s="143">
        <f>586+250</f>
        <v>836</v>
      </c>
      <c r="M10" s="145">
        <v>0</v>
      </c>
      <c r="N10" s="145">
        <v>0</v>
      </c>
      <c r="O10" s="166">
        <f t="shared" si="0"/>
        <v>836</v>
      </c>
    </row>
    <row r="11" spans="1:15" s="63" customFormat="1" ht="15" customHeight="1">
      <c r="A11" s="806"/>
      <c r="B11" s="807"/>
      <c r="C11" s="808"/>
      <c r="D11" s="21">
        <v>1</v>
      </c>
      <c r="E11" s="351"/>
      <c r="F11" s="351">
        <v>1</v>
      </c>
      <c r="G11" s="351"/>
      <c r="H11" s="351">
        <v>1</v>
      </c>
      <c r="I11" s="358" t="s">
        <v>212</v>
      </c>
      <c r="J11" s="358" t="s">
        <v>31</v>
      </c>
      <c r="K11" s="21">
        <v>1996</v>
      </c>
      <c r="L11" s="143">
        <v>0</v>
      </c>
      <c r="M11" s="145">
        <v>0</v>
      </c>
      <c r="N11" s="145">
        <v>360</v>
      </c>
      <c r="O11" s="166">
        <f t="shared" si="0"/>
        <v>360</v>
      </c>
    </row>
    <row r="12" spans="1:15" s="63" customFormat="1" ht="15" customHeight="1">
      <c r="A12" s="806"/>
      <c r="B12" s="806"/>
      <c r="C12" s="808"/>
      <c r="D12" s="21">
        <v>1</v>
      </c>
      <c r="E12" s="351">
        <v>1</v>
      </c>
      <c r="F12" s="351"/>
      <c r="G12" s="351"/>
      <c r="H12" s="351">
        <v>1</v>
      </c>
      <c r="I12" s="358" t="s">
        <v>212</v>
      </c>
      <c r="J12" s="358" t="s">
        <v>326</v>
      </c>
      <c r="K12" s="21">
        <v>2008</v>
      </c>
      <c r="L12" s="143">
        <v>22</v>
      </c>
      <c r="M12" s="145">
        <v>0</v>
      </c>
      <c r="N12" s="145">
        <v>0</v>
      </c>
      <c r="O12" s="166">
        <f t="shared" si="0"/>
        <v>22</v>
      </c>
    </row>
    <row r="13" spans="1:15" s="63" customFormat="1" ht="15" customHeight="1">
      <c r="A13" s="806"/>
      <c r="B13" s="806"/>
      <c r="C13" s="808"/>
      <c r="D13" s="21">
        <v>1</v>
      </c>
      <c r="E13" s="21"/>
      <c r="F13" s="21">
        <v>1</v>
      </c>
      <c r="G13" s="21">
        <v>1</v>
      </c>
      <c r="H13" s="250"/>
      <c r="I13" s="358" t="s">
        <v>212</v>
      </c>
      <c r="J13" s="358" t="s">
        <v>212</v>
      </c>
      <c r="K13" s="21">
        <v>1996</v>
      </c>
      <c r="L13" s="143">
        <v>0</v>
      </c>
      <c r="M13" s="145">
        <v>0</v>
      </c>
      <c r="N13" s="145">
        <v>150</v>
      </c>
      <c r="O13" s="166">
        <f t="shared" si="0"/>
        <v>150</v>
      </c>
    </row>
    <row r="14" spans="1:15" s="63" customFormat="1" ht="15" customHeight="1">
      <c r="A14" s="806"/>
      <c r="B14" s="806"/>
      <c r="C14" s="808"/>
      <c r="D14" s="21">
        <v>1</v>
      </c>
      <c r="E14" s="351">
        <v>1</v>
      </c>
      <c r="F14" s="351"/>
      <c r="G14" s="351"/>
      <c r="H14" s="351">
        <v>1</v>
      </c>
      <c r="I14" s="358" t="s">
        <v>16</v>
      </c>
      <c r="J14" s="358" t="s">
        <v>16</v>
      </c>
      <c r="K14" s="21">
        <v>1997</v>
      </c>
      <c r="L14" s="143">
        <v>0</v>
      </c>
      <c r="M14" s="145">
        <v>0</v>
      </c>
      <c r="N14" s="145">
        <v>200</v>
      </c>
      <c r="O14" s="166">
        <f t="shared" si="0"/>
        <v>200</v>
      </c>
    </row>
    <row r="15" spans="1:15" s="63" customFormat="1" ht="15" customHeight="1">
      <c r="A15" s="806"/>
      <c r="B15" s="806"/>
      <c r="C15" s="808"/>
      <c r="D15" s="21">
        <v>1</v>
      </c>
      <c r="E15" s="351">
        <v>1</v>
      </c>
      <c r="F15" s="351"/>
      <c r="G15" s="351"/>
      <c r="H15" s="351">
        <v>1</v>
      </c>
      <c r="I15" s="358" t="s">
        <v>18</v>
      </c>
      <c r="J15" s="358" t="s">
        <v>18</v>
      </c>
      <c r="K15" s="21">
        <v>2001</v>
      </c>
      <c r="L15" s="143">
        <v>0</v>
      </c>
      <c r="M15" s="145">
        <v>0</v>
      </c>
      <c r="N15" s="145">
        <v>200</v>
      </c>
      <c r="O15" s="166">
        <f t="shared" si="0"/>
        <v>200</v>
      </c>
    </row>
    <row r="16" spans="1:15" s="63" customFormat="1" ht="15" customHeight="1">
      <c r="A16" s="806"/>
      <c r="B16" s="806"/>
      <c r="C16" s="808"/>
      <c r="D16" s="21">
        <v>1</v>
      </c>
      <c r="E16" s="351">
        <v>1</v>
      </c>
      <c r="F16" s="351"/>
      <c r="G16" s="351"/>
      <c r="H16" s="351">
        <v>1</v>
      </c>
      <c r="I16" s="358" t="s">
        <v>18</v>
      </c>
      <c r="J16" s="358" t="s">
        <v>18</v>
      </c>
      <c r="K16" s="21">
        <v>1996</v>
      </c>
      <c r="L16" s="143">
        <v>0</v>
      </c>
      <c r="M16" s="145">
        <v>0</v>
      </c>
      <c r="N16" s="145">
        <v>180</v>
      </c>
      <c r="O16" s="166">
        <f t="shared" si="0"/>
        <v>180</v>
      </c>
    </row>
    <row r="17" spans="1:15" s="63" customFormat="1" ht="15" customHeight="1">
      <c r="A17" s="806"/>
      <c r="B17" s="806"/>
      <c r="C17" s="808"/>
      <c r="D17" s="21">
        <v>1</v>
      </c>
      <c r="E17" s="351">
        <v>1</v>
      </c>
      <c r="F17" s="351"/>
      <c r="G17" s="351"/>
      <c r="H17" s="351">
        <v>1</v>
      </c>
      <c r="I17" s="358" t="s">
        <v>212</v>
      </c>
      <c r="J17" s="358" t="s">
        <v>18</v>
      </c>
      <c r="K17" s="21">
        <v>2010</v>
      </c>
      <c r="L17" s="143">
        <v>0</v>
      </c>
      <c r="M17" s="145">
        <v>600</v>
      </c>
      <c r="N17" s="145">
        <v>0</v>
      </c>
      <c r="O17" s="166">
        <f t="shared" si="0"/>
        <v>600</v>
      </c>
    </row>
    <row r="18" spans="1:15" s="63" customFormat="1" ht="15" customHeight="1">
      <c r="A18" s="806"/>
      <c r="B18" s="806"/>
      <c r="C18" s="808"/>
      <c r="D18" s="21">
        <v>1</v>
      </c>
      <c r="E18" s="351"/>
      <c r="F18" s="351">
        <v>1</v>
      </c>
      <c r="G18" s="351"/>
      <c r="H18" s="351">
        <v>1</v>
      </c>
      <c r="I18" s="358" t="s">
        <v>212</v>
      </c>
      <c r="J18" s="358" t="s">
        <v>495</v>
      </c>
      <c r="K18" s="21">
        <v>1999</v>
      </c>
      <c r="L18" s="143">
        <v>400</v>
      </c>
      <c r="M18" s="145">
        <v>300</v>
      </c>
      <c r="N18" s="145">
        <v>0</v>
      </c>
      <c r="O18" s="166">
        <f t="shared" si="0"/>
        <v>700</v>
      </c>
    </row>
    <row r="19" spans="1:15" s="63" customFormat="1" ht="15" customHeight="1">
      <c r="A19" s="806"/>
      <c r="B19" s="806"/>
      <c r="C19" s="808"/>
      <c r="D19" s="21">
        <v>1</v>
      </c>
      <c r="E19" s="351">
        <v>1</v>
      </c>
      <c r="F19" s="351"/>
      <c r="G19" s="351"/>
      <c r="H19" s="351">
        <v>1</v>
      </c>
      <c r="I19" s="358" t="s">
        <v>212</v>
      </c>
      <c r="J19" s="358" t="s">
        <v>335</v>
      </c>
      <c r="K19" s="21">
        <v>2003</v>
      </c>
      <c r="L19" s="143">
        <v>200</v>
      </c>
      <c r="M19" s="145">
        <v>0</v>
      </c>
      <c r="N19" s="145">
        <v>0</v>
      </c>
      <c r="O19" s="166">
        <f t="shared" si="0"/>
        <v>200</v>
      </c>
    </row>
    <row r="20" spans="1:15" s="63" customFormat="1" ht="15" customHeight="1">
      <c r="A20" s="809"/>
      <c r="B20" s="809"/>
      <c r="C20" s="808"/>
      <c r="D20" s="21">
        <v>1</v>
      </c>
      <c r="E20" s="21"/>
      <c r="F20" s="21">
        <v>1</v>
      </c>
      <c r="G20" s="21">
        <v>1</v>
      </c>
      <c r="H20" s="250"/>
      <c r="I20" s="358" t="s">
        <v>140</v>
      </c>
      <c r="J20" s="358" t="s">
        <v>212</v>
      </c>
      <c r="K20" s="21">
        <v>1995</v>
      </c>
      <c r="L20" s="143">
        <v>100</v>
      </c>
      <c r="M20" s="145">
        <v>0</v>
      </c>
      <c r="N20" s="145">
        <v>0</v>
      </c>
      <c r="O20" s="166">
        <f t="shared" si="0"/>
        <v>100</v>
      </c>
    </row>
    <row r="21" spans="1:15" s="63" customFormat="1" ht="15" customHeight="1">
      <c r="A21" s="791"/>
      <c r="B21" s="791"/>
      <c r="C21" s="810"/>
      <c r="D21" s="21">
        <v>1</v>
      </c>
      <c r="E21" s="21"/>
      <c r="F21" s="351">
        <v>1</v>
      </c>
      <c r="G21" s="351"/>
      <c r="H21" s="351">
        <v>1</v>
      </c>
      <c r="I21" s="358" t="s">
        <v>18</v>
      </c>
      <c r="J21" s="358" t="s">
        <v>18</v>
      </c>
      <c r="K21" s="21">
        <v>2011</v>
      </c>
      <c r="L21" s="143">
        <v>0</v>
      </c>
      <c r="M21" s="145">
        <v>1880</v>
      </c>
      <c r="N21" s="145">
        <v>0</v>
      </c>
      <c r="O21" s="166">
        <f t="shared" si="0"/>
        <v>1880</v>
      </c>
    </row>
    <row r="22" spans="1:15" s="161" customFormat="1" ht="15" customHeight="1">
      <c r="A22" s="1062" t="s">
        <v>75</v>
      </c>
      <c r="B22" s="1063"/>
      <c r="C22" s="352"/>
      <c r="D22" s="120">
        <f>SUM(D5:D21)</f>
        <v>17</v>
      </c>
      <c r="E22" s="120">
        <f>SUM(E5:E21)</f>
        <v>8</v>
      </c>
      <c r="F22" s="120">
        <f>SUM(F5:F21)</f>
        <v>9</v>
      </c>
      <c r="G22" s="120">
        <f>SUM(G9:G21)</f>
        <v>2</v>
      </c>
      <c r="H22" s="233">
        <f>SUM(H5:H21)</f>
        <v>15</v>
      </c>
      <c r="I22" s="85"/>
      <c r="J22" s="256"/>
      <c r="K22" s="109"/>
      <c r="L22" s="149">
        <f>SUM(L5:L21)</f>
        <v>1558</v>
      </c>
      <c r="M22" s="149">
        <f>SUM(M5:M21)</f>
        <v>7103</v>
      </c>
      <c r="N22" s="149">
        <f>SUM(N5:N21)</f>
        <v>1340</v>
      </c>
      <c r="O22" s="149">
        <f>SUM(O5:O21)</f>
        <v>10001</v>
      </c>
    </row>
    <row r="23" spans="1:15" s="51" customFormat="1" ht="15" customHeight="1">
      <c r="A23" s="1064" t="s">
        <v>64</v>
      </c>
      <c r="B23" s="1065"/>
      <c r="C23" s="353"/>
      <c r="D23" s="19"/>
      <c r="E23" s="19"/>
      <c r="F23" s="19"/>
      <c r="G23" s="19"/>
      <c r="H23" s="251"/>
      <c r="I23" s="57"/>
      <c r="J23" s="42"/>
      <c r="K23" s="19"/>
      <c r="L23" s="160"/>
      <c r="M23" s="164"/>
      <c r="N23" s="164"/>
      <c r="O23" s="153"/>
    </row>
    <row r="24" spans="1:15" s="50" customFormat="1" ht="48" customHeight="1">
      <c r="A24" s="39" t="s">
        <v>332</v>
      </c>
      <c r="B24" s="39" t="s">
        <v>333</v>
      </c>
      <c r="C24" s="39" t="s">
        <v>213</v>
      </c>
      <c r="D24" s="115" t="s">
        <v>36</v>
      </c>
      <c r="E24" s="115" t="s">
        <v>73</v>
      </c>
      <c r="F24" s="115" t="s">
        <v>74</v>
      </c>
      <c r="G24" s="115" t="s">
        <v>37</v>
      </c>
      <c r="H24" s="268" t="s">
        <v>38</v>
      </c>
      <c r="I24" s="39" t="s">
        <v>15</v>
      </c>
      <c r="J24" s="115" t="s">
        <v>214</v>
      </c>
      <c r="K24" s="115" t="s">
        <v>39</v>
      </c>
      <c r="L24" s="130" t="s">
        <v>63</v>
      </c>
      <c r="M24" s="130" t="s">
        <v>149</v>
      </c>
      <c r="N24" s="130" t="s">
        <v>167</v>
      </c>
      <c r="O24" s="130" t="s">
        <v>58</v>
      </c>
    </row>
    <row r="25" spans="1:15" ht="15" customHeight="1">
      <c r="A25" s="806"/>
      <c r="B25" s="806"/>
      <c r="C25" s="808"/>
      <c r="D25" s="15">
        <v>1</v>
      </c>
      <c r="E25" s="247">
        <v>1</v>
      </c>
      <c r="F25" s="22"/>
      <c r="G25" s="22"/>
      <c r="H25" s="22">
        <v>1</v>
      </c>
      <c r="I25" s="22" t="s">
        <v>212</v>
      </c>
      <c r="J25" s="22" t="s">
        <v>20</v>
      </c>
      <c r="K25" s="22">
        <v>2008</v>
      </c>
      <c r="L25" s="151">
        <v>116</v>
      </c>
      <c r="M25" s="151">
        <v>350</v>
      </c>
      <c r="N25" s="151">
        <v>0</v>
      </c>
      <c r="O25" s="151">
        <f aca="true" t="shared" si="1" ref="O25:O56">L25+M25+N25</f>
        <v>466</v>
      </c>
    </row>
    <row r="26" spans="1:15" ht="15" customHeight="1">
      <c r="A26" s="806"/>
      <c r="B26" s="806"/>
      <c r="C26" s="808"/>
      <c r="D26" s="15">
        <v>1</v>
      </c>
      <c r="E26" s="247"/>
      <c r="F26" s="22">
        <v>1</v>
      </c>
      <c r="G26" s="15"/>
      <c r="H26" s="270">
        <v>1</v>
      </c>
      <c r="I26" s="22" t="s">
        <v>343</v>
      </c>
      <c r="J26" s="22" t="s">
        <v>343</v>
      </c>
      <c r="K26" s="22">
        <v>2001</v>
      </c>
      <c r="L26" s="151">
        <v>250</v>
      </c>
      <c r="M26" s="151">
        <v>0</v>
      </c>
      <c r="N26" s="151">
        <v>0</v>
      </c>
      <c r="O26" s="151">
        <f t="shared" si="1"/>
        <v>250</v>
      </c>
    </row>
    <row r="27" spans="1:15" ht="15" customHeight="1">
      <c r="A27" s="806"/>
      <c r="B27" s="806"/>
      <c r="C27" s="808"/>
      <c r="D27" s="15">
        <v>1</v>
      </c>
      <c r="E27" s="247"/>
      <c r="F27" s="22">
        <v>1</v>
      </c>
      <c r="G27" s="22"/>
      <c r="H27" s="22">
        <v>1</v>
      </c>
      <c r="I27" s="22" t="s">
        <v>212</v>
      </c>
      <c r="J27" s="22" t="s">
        <v>343</v>
      </c>
      <c r="K27" s="15">
        <v>2007</v>
      </c>
      <c r="L27" s="151">
        <v>600</v>
      </c>
      <c r="M27" s="151">
        <v>0</v>
      </c>
      <c r="N27" s="151">
        <v>0</v>
      </c>
      <c r="O27" s="151">
        <f t="shared" si="1"/>
        <v>600</v>
      </c>
    </row>
    <row r="28" spans="1:15" ht="15" customHeight="1">
      <c r="A28" s="806"/>
      <c r="B28" s="806"/>
      <c r="C28" s="808"/>
      <c r="D28" s="15">
        <v>1</v>
      </c>
      <c r="E28" s="247">
        <v>1</v>
      </c>
      <c r="F28" s="15"/>
      <c r="G28" s="15"/>
      <c r="H28" s="15">
        <v>1</v>
      </c>
      <c r="I28" s="22" t="s">
        <v>212</v>
      </c>
      <c r="J28" s="22" t="s">
        <v>18</v>
      </c>
      <c r="K28" s="15">
        <v>2009</v>
      </c>
      <c r="L28" s="151">
        <v>200</v>
      </c>
      <c r="M28" s="151">
        <v>0</v>
      </c>
      <c r="N28" s="151">
        <v>0</v>
      </c>
      <c r="O28" s="151">
        <f t="shared" si="1"/>
        <v>200</v>
      </c>
    </row>
    <row r="29" spans="1:15" ht="15" customHeight="1">
      <c r="A29" s="806"/>
      <c r="B29" s="806"/>
      <c r="C29" s="808"/>
      <c r="D29" s="22">
        <v>1</v>
      </c>
      <c r="E29" s="247">
        <v>1</v>
      </c>
      <c r="F29" s="22"/>
      <c r="G29" s="22"/>
      <c r="H29" s="33">
        <v>1</v>
      </c>
      <c r="I29" s="22" t="s">
        <v>212</v>
      </c>
      <c r="J29" s="22" t="s">
        <v>44</v>
      </c>
      <c r="K29" s="22">
        <v>2009</v>
      </c>
      <c r="L29" s="145">
        <v>0</v>
      </c>
      <c r="M29" s="151">
        <v>0</v>
      </c>
      <c r="N29" s="151">
        <v>116</v>
      </c>
      <c r="O29" s="151">
        <f t="shared" si="1"/>
        <v>116</v>
      </c>
    </row>
    <row r="30" spans="1:15" s="80" customFormat="1" ht="15" customHeight="1">
      <c r="A30" s="806"/>
      <c r="B30" s="806"/>
      <c r="C30" s="808"/>
      <c r="D30" s="15">
        <v>1</v>
      </c>
      <c r="E30" s="247">
        <v>1</v>
      </c>
      <c r="F30" s="22"/>
      <c r="G30" s="15"/>
      <c r="H30" s="78">
        <v>1</v>
      </c>
      <c r="I30" s="22" t="s">
        <v>212</v>
      </c>
      <c r="J30" s="22" t="s">
        <v>44</v>
      </c>
      <c r="K30" s="15">
        <v>2007</v>
      </c>
      <c r="L30" s="151">
        <v>60</v>
      </c>
      <c r="M30" s="151">
        <v>0</v>
      </c>
      <c r="N30" s="151">
        <v>0</v>
      </c>
      <c r="O30" s="151">
        <f t="shared" si="1"/>
        <v>60</v>
      </c>
    </row>
    <row r="31" spans="1:15" s="80" customFormat="1" ht="15" customHeight="1">
      <c r="A31" s="806"/>
      <c r="B31" s="806"/>
      <c r="C31" s="808"/>
      <c r="D31" s="15">
        <v>1</v>
      </c>
      <c r="E31" s="22"/>
      <c r="F31" s="22">
        <v>1</v>
      </c>
      <c r="G31" s="22"/>
      <c r="H31" s="22">
        <v>1</v>
      </c>
      <c r="I31" s="22" t="s">
        <v>212</v>
      </c>
      <c r="J31" s="15" t="s">
        <v>44</v>
      </c>
      <c r="K31" s="22">
        <v>2008</v>
      </c>
      <c r="L31" s="145">
        <v>0</v>
      </c>
      <c r="M31" s="151">
        <v>1400</v>
      </c>
      <c r="N31" s="151">
        <v>0</v>
      </c>
      <c r="O31" s="151">
        <f t="shared" si="1"/>
        <v>1400</v>
      </c>
    </row>
    <row r="32" spans="1:15" s="80" customFormat="1" ht="15" customHeight="1">
      <c r="A32" s="806"/>
      <c r="B32" s="806"/>
      <c r="C32" s="808"/>
      <c r="D32" s="22">
        <v>1</v>
      </c>
      <c r="E32" s="22"/>
      <c r="F32" s="22">
        <v>1</v>
      </c>
      <c r="G32" s="22"/>
      <c r="H32" s="33">
        <v>1</v>
      </c>
      <c r="I32" s="22" t="s">
        <v>212</v>
      </c>
      <c r="J32" s="22" t="s">
        <v>31</v>
      </c>
      <c r="K32" s="22">
        <v>2002</v>
      </c>
      <c r="L32" s="145">
        <v>660</v>
      </c>
      <c r="M32" s="151">
        <v>0</v>
      </c>
      <c r="N32" s="151">
        <v>0</v>
      </c>
      <c r="O32" s="151">
        <f t="shared" si="1"/>
        <v>660</v>
      </c>
    </row>
    <row r="33" spans="1:15" s="80" customFormat="1" ht="15" customHeight="1">
      <c r="A33" s="806"/>
      <c r="B33" s="806"/>
      <c r="C33" s="808"/>
      <c r="D33" s="22">
        <v>1</v>
      </c>
      <c r="E33" s="247"/>
      <c r="F33" s="22">
        <v>1</v>
      </c>
      <c r="G33" s="22"/>
      <c r="H33" s="77">
        <v>1</v>
      </c>
      <c r="I33" s="22" t="s">
        <v>31</v>
      </c>
      <c r="J33" s="22" t="s">
        <v>31</v>
      </c>
      <c r="K33" s="22">
        <v>1997</v>
      </c>
      <c r="L33" s="145">
        <f>1073+195</f>
        <v>1268</v>
      </c>
      <c r="M33" s="151">
        <v>0</v>
      </c>
      <c r="N33" s="151">
        <v>570</v>
      </c>
      <c r="O33" s="151">
        <f t="shared" si="1"/>
        <v>1838</v>
      </c>
    </row>
    <row r="34" spans="1:15" s="80" customFormat="1" ht="15" customHeight="1">
      <c r="A34" s="806"/>
      <c r="B34" s="806"/>
      <c r="C34" s="808"/>
      <c r="D34" s="22">
        <v>1</v>
      </c>
      <c r="E34" s="247">
        <v>1</v>
      </c>
      <c r="F34" s="22"/>
      <c r="G34" s="22"/>
      <c r="H34" s="22">
        <v>1</v>
      </c>
      <c r="I34" s="22" t="s">
        <v>212</v>
      </c>
      <c r="J34" s="22" t="s">
        <v>31</v>
      </c>
      <c r="K34" s="22">
        <v>2010</v>
      </c>
      <c r="L34" s="145">
        <v>319</v>
      </c>
      <c r="M34" s="151">
        <v>0</v>
      </c>
      <c r="N34" s="151">
        <v>0</v>
      </c>
      <c r="O34" s="151">
        <f t="shared" si="1"/>
        <v>319</v>
      </c>
    </row>
    <row r="35" spans="1:15" s="80" customFormat="1" ht="15" customHeight="1">
      <c r="A35" s="806"/>
      <c r="B35" s="806"/>
      <c r="C35" s="808"/>
      <c r="D35" s="22">
        <v>1</v>
      </c>
      <c r="E35" s="247">
        <v>1</v>
      </c>
      <c r="F35" s="22"/>
      <c r="G35" s="22">
        <v>1</v>
      </c>
      <c r="H35" s="250"/>
      <c r="I35" s="22" t="s">
        <v>212</v>
      </c>
      <c r="J35" s="22" t="s">
        <v>141</v>
      </c>
      <c r="K35" s="22">
        <v>2007</v>
      </c>
      <c r="L35" s="145">
        <v>300</v>
      </c>
      <c r="M35" s="151">
        <v>0</v>
      </c>
      <c r="N35" s="151">
        <v>0</v>
      </c>
      <c r="O35" s="151">
        <f t="shared" si="1"/>
        <v>300</v>
      </c>
    </row>
    <row r="36" spans="1:15" s="80" customFormat="1" ht="15" customHeight="1">
      <c r="A36" s="806"/>
      <c r="B36" s="806"/>
      <c r="C36" s="808"/>
      <c r="D36" s="22">
        <v>1</v>
      </c>
      <c r="E36" s="22"/>
      <c r="F36" s="22">
        <v>1</v>
      </c>
      <c r="G36" s="22">
        <v>1</v>
      </c>
      <c r="H36" s="250"/>
      <c r="I36" s="22" t="s">
        <v>212</v>
      </c>
      <c r="J36" s="22" t="s">
        <v>212</v>
      </c>
      <c r="K36" s="22">
        <v>2000</v>
      </c>
      <c r="L36" s="145">
        <v>0</v>
      </c>
      <c r="M36" s="151">
        <v>600</v>
      </c>
      <c r="N36" s="151">
        <v>0</v>
      </c>
      <c r="O36" s="151">
        <f t="shared" si="1"/>
        <v>600</v>
      </c>
    </row>
    <row r="37" spans="1:15" s="80" customFormat="1" ht="15" customHeight="1">
      <c r="A37" s="806"/>
      <c r="B37" s="806"/>
      <c r="C37" s="808"/>
      <c r="D37" s="22">
        <v>1</v>
      </c>
      <c r="E37" s="22">
        <v>1</v>
      </c>
      <c r="F37" s="22"/>
      <c r="G37" s="22">
        <v>1</v>
      </c>
      <c r="H37" s="250"/>
      <c r="I37" s="22" t="s">
        <v>212</v>
      </c>
      <c r="J37" s="22" t="s">
        <v>212</v>
      </c>
      <c r="K37" s="22">
        <v>2001</v>
      </c>
      <c r="L37" s="145">
        <v>200</v>
      </c>
      <c r="M37" s="151">
        <v>0</v>
      </c>
      <c r="N37" s="151">
        <v>400</v>
      </c>
      <c r="O37" s="151">
        <f t="shared" si="1"/>
        <v>600</v>
      </c>
    </row>
    <row r="38" spans="1:15" s="80" customFormat="1" ht="15" customHeight="1">
      <c r="A38" s="806"/>
      <c r="B38" s="806"/>
      <c r="C38" s="808"/>
      <c r="D38" s="22">
        <v>1</v>
      </c>
      <c r="E38" s="247"/>
      <c r="F38" s="22">
        <v>1</v>
      </c>
      <c r="G38" s="22"/>
      <c r="H38" s="22">
        <v>1</v>
      </c>
      <c r="I38" s="22" t="s">
        <v>212</v>
      </c>
      <c r="J38" s="22" t="s">
        <v>130</v>
      </c>
      <c r="K38" s="22">
        <v>2004</v>
      </c>
      <c r="L38" s="145">
        <v>400</v>
      </c>
      <c r="M38" s="151">
        <v>0</v>
      </c>
      <c r="N38" s="151">
        <v>0</v>
      </c>
      <c r="O38" s="151">
        <f t="shared" si="1"/>
        <v>400</v>
      </c>
    </row>
    <row r="39" spans="1:15" s="80" customFormat="1" ht="15" customHeight="1">
      <c r="A39" s="806"/>
      <c r="B39" s="806"/>
      <c r="C39" s="808"/>
      <c r="D39" s="22">
        <v>1</v>
      </c>
      <c r="E39" s="247"/>
      <c r="F39" s="22">
        <v>1</v>
      </c>
      <c r="G39" s="22"/>
      <c r="H39" s="22">
        <v>1</v>
      </c>
      <c r="I39" s="22" t="s">
        <v>212</v>
      </c>
      <c r="J39" s="22" t="s">
        <v>18</v>
      </c>
      <c r="K39" s="22">
        <v>2005</v>
      </c>
      <c r="L39" s="145">
        <v>550</v>
      </c>
      <c r="M39" s="151">
        <v>0</v>
      </c>
      <c r="N39" s="151">
        <v>0</v>
      </c>
      <c r="O39" s="151">
        <f t="shared" si="1"/>
        <v>550</v>
      </c>
    </row>
    <row r="40" spans="1:15" s="80" customFormat="1" ht="15" customHeight="1">
      <c r="A40" s="806"/>
      <c r="B40" s="806"/>
      <c r="C40" s="808"/>
      <c r="D40" s="22">
        <v>1</v>
      </c>
      <c r="E40" s="247">
        <v>1</v>
      </c>
      <c r="F40" s="22"/>
      <c r="G40" s="22">
        <v>1</v>
      </c>
      <c r="H40" s="22"/>
      <c r="I40" s="22" t="s">
        <v>212</v>
      </c>
      <c r="J40" s="22" t="s">
        <v>212</v>
      </c>
      <c r="K40" s="22">
        <v>2004</v>
      </c>
      <c r="L40" s="145">
        <v>0</v>
      </c>
      <c r="M40" s="151">
        <f>1200+641</f>
        <v>1841</v>
      </c>
      <c r="N40" s="151">
        <v>0</v>
      </c>
      <c r="O40" s="151">
        <f t="shared" si="1"/>
        <v>1841</v>
      </c>
    </row>
    <row r="41" spans="1:15" s="80" customFormat="1" ht="15" customHeight="1">
      <c r="A41" s="806"/>
      <c r="B41" s="806"/>
      <c r="C41" s="808"/>
      <c r="D41" s="22">
        <v>1</v>
      </c>
      <c r="E41" s="247">
        <v>1</v>
      </c>
      <c r="F41" s="22"/>
      <c r="G41" s="22">
        <v>1</v>
      </c>
      <c r="H41" s="22"/>
      <c r="I41" s="22" t="s">
        <v>212</v>
      </c>
      <c r="J41" s="22" t="s">
        <v>142</v>
      </c>
      <c r="K41" s="22">
        <v>2006</v>
      </c>
      <c r="L41" s="145">
        <v>0</v>
      </c>
      <c r="M41" s="151">
        <v>1700</v>
      </c>
      <c r="N41" s="151">
        <v>0</v>
      </c>
      <c r="O41" s="151">
        <f t="shared" si="1"/>
        <v>1700</v>
      </c>
    </row>
    <row r="42" spans="1:15" s="80" customFormat="1" ht="15" customHeight="1">
      <c r="A42" s="806"/>
      <c r="B42" s="806"/>
      <c r="C42" s="808"/>
      <c r="D42" s="22">
        <v>1</v>
      </c>
      <c r="E42" s="247"/>
      <c r="F42" s="22">
        <v>1</v>
      </c>
      <c r="G42" s="22"/>
      <c r="H42" s="22">
        <v>1</v>
      </c>
      <c r="I42" s="22" t="s">
        <v>343</v>
      </c>
      <c r="J42" s="22" t="s">
        <v>343</v>
      </c>
      <c r="K42" s="22">
        <v>2005</v>
      </c>
      <c r="L42" s="145">
        <v>0</v>
      </c>
      <c r="M42" s="151">
        <v>1000</v>
      </c>
      <c r="N42" s="151">
        <v>0</v>
      </c>
      <c r="O42" s="151">
        <f t="shared" si="1"/>
        <v>1000</v>
      </c>
    </row>
    <row r="43" spans="1:15" s="80" customFormat="1" ht="15" customHeight="1">
      <c r="A43" s="806"/>
      <c r="B43" s="806"/>
      <c r="C43" s="808"/>
      <c r="D43" s="22">
        <v>1</v>
      </c>
      <c r="E43" s="247">
        <v>1</v>
      </c>
      <c r="F43" s="22"/>
      <c r="G43" s="22">
        <v>1</v>
      </c>
      <c r="H43" s="22"/>
      <c r="I43" s="22" t="s">
        <v>212</v>
      </c>
      <c r="J43" s="22" t="s">
        <v>212</v>
      </c>
      <c r="K43" s="22">
        <v>1999</v>
      </c>
      <c r="L43" s="145">
        <v>0</v>
      </c>
      <c r="M43" s="151">
        <v>0</v>
      </c>
      <c r="N43" s="151">
        <v>721</v>
      </c>
      <c r="O43" s="151">
        <f t="shared" si="1"/>
        <v>721</v>
      </c>
    </row>
    <row r="44" spans="1:15" s="80" customFormat="1" ht="15" customHeight="1">
      <c r="A44" s="806"/>
      <c r="B44" s="806"/>
      <c r="C44" s="808"/>
      <c r="D44" s="22">
        <v>1</v>
      </c>
      <c r="E44" s="247"/>
      <c r="F44" s="22">
        <v>1</v>
      </c>
      <c r="G44" s="22"/>
      <c r="H44" s="22">
        <v>1</v>
      </c>
      <c r="I44" s="22" t="s">
        <v>212</v>
      </c>
      <c r="J44" s="22" t="s">
        <v>343</v>
      </c>
      <c r="K44" s="22">
        <v>2010</v>
      </c>
      <c r="L44" s="145">
        <v>150</v>
      </c>
      <c r="M44" s="151">
        <v>0</v>
      </c>
      <c r="N44" s="151">
        <v>0</v>
      </c>
      <c r="O44" s="151">
        <f t="shared" si="1"/>
        <v>150</v>
      </c>
    </row>
    <row r="45" spans="1:15" s="80" customFormat="1" ht="15" customHeight="1">
      <c r="A45" s="806"/>
      <c r="B45" s="806"/>
      <c r="C45" s="808"/>
      <c r="D45" s="22">
        <v>1</v>
      </c>
      <c r="E45" s="247">
        <v>1</v>
      </c>
      <c r="F45" s="22"/>
      <c r="G45" s="22">
        <v>1</v>
      </c>
      <c r="H45" s="22"/>
      <c r="I45" s="22" t="s">
        <v>212</v>
      </c>
      <c r="J45" s="22" t="s">
        <v>212</v>
      </c>
      <c r="K45" s="22">
        <v>2001</v>
      </c>
      <c r="L45" s="145">
        <v>213.56</v>
      </c>
      <c r="M45" s="151">
        <v>0</v>
      </c>
      <c r="N45" s="151">
        <v>410</v>
      </c>
      <c r="O45" s="151">
        <f t="shared" si="1"/>
        <v>623.56</v>
      </c>
    </row>
    <row r="46" spans="1:15" s="80" customFormat="1" ht="15" customHeight="1">
      <c r="A46" s="806"/>
      <c r="B46" s="806"/>
      <c r="C46" s="808"/>
      <c r="D46" s="22">
        <v>1</v>
      </c>
      <c r="E46" s="247"/>
      <c r="F46" s="22">
        <v>1</v>
      </c>
      <c r="G46" s="22">
        <v>1</v>
      </c>
      <c r="H46" s="22"/>
      <c r="I46" s="22" t="s">
        <v>212</v>
      </c>
      <c r="J46" s="22" t="s">
        <v>212</v>
      </c>
      <c r="K46" s="22">
        <v>2005</v>
      </c>
      <c r="L46" s="145">
        <v>380</v>
      </c>
      <c r="M46" s="151">
        <v>0</v>
      </c>
      <c r="N46" s="151">
        <v>0</v>
      </c>
      <c r="O46" s="151">
        <f t="shared" si="1"/>
        <v>380</v>
      </c>
    </row>
    <row r="47" spans="1:15" s="80" customFormat="1" ht="15" customHeight="1">
      <c r="A47" s="806"/>
      <c r="B47" s="806"/>
      <c r="C47" s="808"/>
      <c r="D47" s="22">
        <v>1</v>
      </c>
      <c r="E47" s="247">
        <v>1</v>
      </c>
      <c r="F47" s="22"/>
      <c r="G47" s="22">
        <v>1</v>
      </c>
      <c r="H47" s="22"/>
      <c r="I47" s="22" t="s">
        <v>212</v>
      </c>
      <c r="J47" s="22" t="s">
        <v>212</v>
      </c>
      <c r="K47" s="22">
        <v>2002</v>
      </c>
      <c r="L47" s="145">
        <v>0</v>
      </c>
      <c r="M47" s="151">
        <v>2400</v>
      </c>
      <c r="N47" s="151">
        <v>0</v>
      </c>
      <c r="O47" s="151">
        <f t="shared" si="1"/>
        <v>2400</v>
      </c>
    </row>
    <row r="48" spans="1:15" s="80" customFormat="1" ht="15" customHeight="1">
      <c r="A48" s="806"/>
      <c r="B48" s="806"/>
      <c r="C48" s="808"/>
      <c r="D48" s="22">
        <v>1</v>
      </c>
      <c r="E48" s="247">
        <v>1</v>
      </c>
      <c r="F48" s="22"/>
      <c r="G48" s="22"/>
      <c r="H48" s="22">
        <v>1</v>
      </c>
      <c r="I48" s="22" t="s">
        <v>212</v>
      </c>
      <c r="J48" s="22" t="s">
        <v>16</v>
      </c>
      <c r="K48" s="22">
        <v>2007</v>
      </c>
      <c r="L48" s="145">
        <v>547</v>
      </c>
      <c r="M48" s="151">
        <v>0</v>
      </c>
      <c r="N48" s="151">
        <v>0</v>
      </c>
      <c r="O48" s="151">
        <f t="shared" si="1"/>
        <v>547</v>
      </c>
    </row>
    <row r="49" spans="1:15" s="80" customFormat="1" ht="15" customHeight="1">
      <c r="A49" s="806"/>
      <c r="B49" s="806"/>
      <c r="C49" s="808"/>
      <c r="D49" s="22">
        <v>1</v>
      </c>
      <c r="E49" s="247"/>
      <c r="F49" s="22">
        <v>1</v>
      </c>
      <c r="G49" s="22"/>
      <c r="H49" s="22">
        <v>1</v>
      </c>
      <c r="I49" s="15" t="s">
        <v>343</v>
      </c>
      <c r="J49" s="15" t="s">
        <v>343</v>
      </c>
      <c r="K49" s="22">
        <v>1975</v>
      </c>
      <c r="L49" s="145">
        <v>1000</v>
      </c>
      <c r="M49" s="151">
        <v>0</v>
      </c>
      <c r="N49" s="151">
        <v>0</v>
      </c>
      <c r="O49" s="151">
        <f t="shared" si="1"/>
        <v>1000</v>
      </c>
    </row>
    <row r="50" spans="1:15" s="80" customFormat="1" ht="15" customHeight="1">
      <c r="A50" s="806"/>
      <c r="B50" s="806"/>
      <c r="C50" s="808"/>
      <c r="D50" s="22">
        <v>1</v>
      </c>
      <c r="E50" s="247"/>
      <c r="F50" s="22">
        <v>1</v>
      </c>
      <c r="G50" s="22"/>
      <c r="H50" s="22">
        <v>1</v>
      </c>
      <c r="I50" s="22" t="s">
        <v>212</v>
      </c>
      <c r="J50" s="22" t="s">
        <v>395</v>
      </c>
      <c r="K50" s="22">
        <v>2001</v>
      </c>
      <c r="L50" s="145">
        <v>500</v>
      </c>
      <c r="M50" s="151">
        <v>0</v>
      </c>
      <c r="N50" s="151">
        <v>200</v>
      </c>
      <c r="O50" s="151">
        <f t="shared" si="1"/>
        <v>700</v>
      </c>
    </row>
    <row r="51" spans="1:15" s="80" customFormat="1" ht="15" customHeight="1">
      <c r="A51" s="806"/>
      <c r="B51" s="806"/>
      <c r="C51" s="808"/>
      <c r="D51" s="22">
        <v>1</v>
      </c>
      <c r="E51" s="247"/>
      <c r="F51" s="22">
        <v>1</v>
      </c>
      <c r="G51" s="22"/>
      <c r="H51" s="22">
        <v>1</v>
      </c>
      <c r="I51" s="22" t="s">
        <v>212</v>
      </c>
      <c r="J51" s="22" t="s">
        <v>343</v>
      </c>
      <c r="K51" s="22">
        <v>2012</v>
      </c>
      <c r="L51" s="145">
        <v>450</v>
      </c>
      <c r="M51" s="151">
        <v>0</v>
      </c>
      <c r="N51" s="151">
        <v>0</v>
      </c>
      <c r="O51" s="151">
        <f t="shared" si="1"/>
        <v>450</v>
      </c>
    </row>
    <row r="52" spans="1:15" s="80" customFormat="1" ht="15" customHeight="1">
      <c r="A52" s="811"/>
      <c r="B52" s="811"/>
      <c r="C52" s="808"/>
      <c r="D52" s="22">
        <v>1</v>
      </c>
      <c r="E52" s="247">
        <v>1</v>
      </c>
      <c r="F52" s="22"/>
      <c r="G52" s="22">
        <v>1</v>
      </c>
      <c r="H52" s="22"/>
      <c r="I52" s="22" t="s">
        <v>212</v>
      </c>
      <c r="J52" s="22" t="s">
        <v>212</v>
      </c>
      <c r="K52" s="22">
        <v>2004</v>
      </c>
      <c r="L52" s="145">
        <v>0</v>
      </c>
      <c r="M52" s="151">
        <v>0</v>
      </c>
      <c r="N52" s="151">
        <v>200</v>
      </c>
      <c r="O52" s="151">
        <f t="shared" si="1"/>
        <v>200</v>
      </c>
    </row>
    <row r="53" spans="1:15" s="80" customFormat="1" ht="15" customHeight="1">
      <c r="A53" s="806"/>
      <c r="B53" s="806"/>
      <c r="C53" s="808"/>
      <c r="D53" s="22">
        <v>1</v>
      </c>
      <c r="E53" s="247">
        <v>1</v>
      </c>
      <c r="F53" s="22"/>
      <c r="G53" s="22"/>
      <c r="H53" s="22">
        <v>1</v>
      </c>
      <c r="I53" s="15" t="s">
        <v>343</v>
      </c>
      <c r="J53" s="15" t="s">
        <v>343</v>
      </c>
      <c r="K53" s="22">
        <v>1995</v>
      </c>
      <c r="L53" s="145">
        <v>0</v>
      </c>
      <c r="M53" s="151">
        <v>0</v>
      </c>
      <c r="N53" s="151">
        <v>27</v>
      </c>
      <c r="O53" s="151">
        <f t="shared" si="1"/>
        <v>27</v>
      </c>
    </row>
    <row r="54" spans="1:15" s="80" customFormat="1" ht="15" customHeight="1">
      <c r="A54" s="807"/>
      <c r="B54" s="807"/>
      <c r="C54" s="808"/>
      <c r="D54" s="22">
        <v>1</v>
      </c>
      <c r="E54" s="247">
        <v>1</v>
      </c>
      <c r="F54" s="22"/>
      <c r="G54" s="22"/>
      <c r="H54" s="22">
        <v>1</v>
      </c>
      <c r="I54" s="22" t="s">
        <v>212</v>
      </c>
      <c r="J54" s="22" t="s">
        <v>343</v>
      </c>
      <c r="K54" s="22">
        <v>2003</v>
      </c>
      <c r="L54" s="145">
        <v>190</v>
      </c>
      <c r="M54" s="151">
        <v>0</v>
      </c>
      <c r="N54" s="151">
        <v>0</v>
      </c>
      <c r="O54" s="151">
        <f t="shared" si="1"/>
        <v>190</v>
      </c>
    </row>
    <row r="55" spans="1:15" s="80" customFormat="1" ht="15" customHeight="1">
      <c r="A55" s="806"/>
      <c r="B55" s="806"/>
      <c r="C55" s="808"/>
      <c r="D55" s="22">
        <v>1</v>
      </c>
      <c r="E55" s="247">
        <v>1</v>
      </c>
      <c r="F55" s="22"/>
      <c r="G55" s="22">
        <v>1</v>
      </c>
      <c r="H55" s="22"/>
      <c r="I55" s="22" t="s">
        <v>212</v>
      </c>
      <c r="J55" s="22" t="s">
        <v>212</v>
      </c>
      <c r="K55" s="22">
        <v>1999</v>
      </c>
      <c r="L55" s="145">
        <v>230</v>
      </c>
      <c r="M55" s="151">
        <v>1650</v>
      </c>
      <c r="N55" s="151">
        <v>0</v>
      </c>
      <c r="O55" s="151">
        <f t="shared" si="1"/>
        <v>1880</v>
      </c>
    </row>
    <row r="56" spans="1:15" s="80" customFormat="1" ht="15" customHeight="1">
      <c r="A56" s="806"/>
      <c r="B56" s="806"/>
      <c r="C56" s="808"/>
      <c r="D56" s="22">
        <v>1</v>
      </c>
      <c r="E56" s="247"/>
      <c r="F56" s="22">
        <v>1</v>
      </c>
      <c r="G56" s="22"/>
      <c r="H56" s="22">
        <v>1</v>
      </c>
      <c r="I56" s="22" t="s">
        <v>212</v>
      </c>
      <c r="J56" s="22" t="s">
        <v>16</v>
      </c>
      <c r="K56" s="22">
        <v>2002</v>
      </c>
      <c r="L56" s="145">
        <v>74</v>
      </c>
      <c r="M56" s="151">
        <v>0</v>
      </c>
      <c r="N56" s="151">
        <v>0</v>
      </c>
      <c r="O56" s="151">
        <f t="shared" si="1"/>
        <v>74</v>
      </c>
    </row>
    <row r="57" spans="1:15" s="80" customFormat="1" ht="15" customHeight="1">
      <c r="A57" s="806"/>
      <c r="B57" s="806"/>
      <c r="C57" s="808"/>
      <c r="D57" s="22">
        <v>1</v>
      </c>
      <c r="E57" s="247">
        <v>1</v>
      </c>
      <c r="F57" s="22"/>
      <c r="G57" s="22">
        <v>1</v>
      </c>
      <c r="H57" s="22"/>
      <c r="I57" s="22" t="s">
        <v>212</v>
      </c>
      <c r="J57" s="22" t="s">
        <v>212</v>
      </c>
      <c r="K57" s="22">
        <v>2009</v>
      </c>
      <c r="L57" s="145">
        <v>200</v>
      </c>
      <c r="M57" s="151">
        <v>0</v>
      </c>
      <c r="N57" s="151">
        <v>0</v>
      </c>
      <c r="O57" s="151">
        <f aca="true" t="shared" si="2" ref="O57:O88">L57+M57+N57</f>
        <v>200</v>
      </c>
    </row>
    <row r="58" spans="1:15" s="80" customFormat="1" ht="15" customHeight="1">
      <c r="A58" s="806"/>
      <c r="B58" s="806"/>
      <c r="C58" s="808"/>
      <c r="D58" s="22">
        <v>1</v>
      </c>
      <c r="E58" s="247"/>
      <c r="F58" s="22">
        <v>1</v>
      </c>
      <c r="G58" s="22"/>
      <c r="H58" s="22">
        <v>1</v>
      </c>
      <c r="I58" s="22" t="s">
        <v>17</v>
      </c>
      <c r="J58" s="22" t="s">
        <v>17</v>
      </c>
      <c r="K58" s="22">
        <v>2001</v>
      </c>
      <c r="L58" s="145">
        <v>169</v>
      </c>
      <c r="M58" s="151">
        <v>1747</v>
      </c>
      <c r="N58" s="151">
        <v>0</v>
      </c>
      <c r="O58" s="151">
        <f t="shared" si="2"/>
        <v>1916</v>
      </c>
    </row>
    <row r="59" spans="1:15" s="80" customFormat="1" ht="15" customHeight="1">
      <c r="A59" s="807"/>
      <c r="B59" s="791"/>
      <c r="C59" s="812"/>
      <c r="D59" s="22">
        <v>1</v>
      </c>
      <c r="E59" s="247">
        <v>1</v>
      </c>
      <c r="F59" s="22"/>
      <c r="G59" s="22"/>
      <c r="H59" s="22">
        <v>1</v>
      </c>
      <c r="I59" s="22" t="s">
        <v>212</v>
      </c>
      <c r="J59" s="22" t="s">
        <v>396</v>
      </c>
      <c r="K59" s="22">
        <v>2009</v>
      </c>
      <c r="L59" s="145">
        <v>1050</v>
      </c>
      <c r="M59" s="151">
        <v>2130</v>
      </c>
      <c r="N59" s="151">
        <v>0</v>
      </c>
      <c r="O59" s="151">
        <f t="shared" si="2"/>
        <v>3180</v>
      </c>
    </row>
    <row r="60" spans="1:15" s="80" customFormat="1" ht="15" customHeight="1">
      <c r="A60" s="806"/>
      <c r="B60" s="803"/>
      <c r="C60" s="808"/>
      <c r="D60" s="22">
        <v>1</v>
      </c>
      <c r="E60" s="247">
        <v>1</v>
      </c>
      <c r="F60" s="22"/>
      <c r="G60" s="22"/>
      <c r="H60" s="22">
        <v>1</v>
      </c>
      <c r="I60" s="22" t="s">
        <v>212</v>
      </c>
      <c r="J60" s="22" t="s">
        <v>20</v>
      </c>
      <c r="K60" s="22">
        <v>2009</v>
      </c>
      <c r="L60" s="145">
        <v>750</v>
      </c>
      <c r="M60" s="151">
        <v>0</v>
      </c>
      <c r="N60" s="151">
        <v>0</v>
      </c>
      <c r="O60" s="151">
        <f t="shared" si="2"/>
        <v>750</v>
      </c>
    </row>
    <row r="61" spans="1:15" s="80" customFormat="1" ht="15" customHeight="1">
      <c r="A61" s="806"/>
      <c r="B61" s="806"/>
      <c r="C61" s="808"/>
      <c r="D61" s="22">
        <v>1</v>
      </c>
      <c r="E61" s="247"/>
      <c r="F61" s="22">
        <v>1</v>
      </c>
      <c r="G61" s="22"/>
      <c r="H61" s="22">
        <v>1</v>
      </c>
      <c r="I61" s="22" t="s">
        <v>212</v>
      </c>
      <c r="J61" s="22" t="s">
        <v>18</v>
      </c>
      <c r="K61" s="22">
        <v>2009</v>
      </c>
      <c r="L61" s="145">
        <v>92</v>
      </c>
      <c r="M61" s="151">
        <v>0</v>
      </c>
      <c r="N61" s="151">
        <v>180</v>
      </c>
      <c r="O61" s="151">
        <f t="shared" si="2"/>
        <v>272</v>
      </c>
    </row>
    <row r="62" spans="1:15" s="80" customFormat="1" ht="15" customHeight="1">
      <c r="A62" s="806"/>
      <c r="B62" s="806"/>
      <c r="C62" s="808"/>
      <c r="D62" s="22">
        <v>1</v>
      </c>
      <c r="E62" s="247">
        <v>1</v>
      </c>
      <c r="F62" s="22"/>
      <c r="G62" s="22"/>
      <c r="H62" s="22">
        <v>1</v>
      </c>
      <c r="I62" s="22" t="s">
        <v>18</v>
      </c>
      <c r="J62" s="22" t="s">
        <v>18</v>
      </c>
      <c r="K62" s="22">
        <v>2001</v>
      </c>
      <c r="L62" s="145">
        <v>468</v>
      </c>
      <c r="M62" s="151">
        <v>0</v>
      </c>
      <c r="N62" s="151">
        <v>116</v>
      </c>
      <c r="O62" s="151">
        <f t="shared" si="2"/>
        <v>584</v>
      </c>
    </row>
    <row r="63" spans="1:15" s="80" customFormat="1" ht="15" customHeight="1">
      <c r="A63" s="806"/>
      <c r="B63" s="806"/>
      <c r="C63" s="808"/>
      <c r="D63" s="22">
        <v>1</v>
      </c>
      <c r="E63" s="247">
        <v>1</v>
      </c>
      <c r="F63" s="22"/>
      <c r="G63" s="22">
        <v>1</v>
      </c>
      <c r="H63" s="22"/>
      <c r="I63" s="22" t="s">
        <v>212</v>
      </c>
      <c r="J63" s="22" t="s">
        <v>212</v>
      </c>
      <c r="K63" s="22">
        <v>2002</v>
      </c>
      <c r="L63" s="145">
        <v>197</v>
      </c>
      <c r="M63" s="151">
        <v>0</v>
      </c>
      <c r="N63" s="151">
        <v>0</v>
      </c>
      <c r="O63" s="151">
        <f t="shared" si="2"/>
        <v>197</v>
      </c>
    </row>
    <row r="64" spans="1:15" s="80" customFormat="1" ht="15" customHeight="1">
      <c r="A64" s="806"/>
      <c r="B64" s="806"/>
      <c r="C64" s="808"/>
      <c r="D64" s="22">
        <v>1</v>
      </c>
      <c r="E64" s="247">
        <v>1</v>
      </c>
      <c r="F64" s="22"/>
      <c r="G64" s="22"/>
      <c r="H64" s="22">
        <v>1</v>
      </c>
      <c r="I64" s="22" t="s">
        <v>16</v>
      </c>
      <c r="J64" s="15" t="s">
        <v>16</v>
      </c>
      <c r="K64" s="22">
        <v>1996</v>
      </c>
      <c r="L64" s="145">
        <v>300</v>
      </c>
      <c r="M64" s="145">
        <v>0</v>
      </c>
      <c r="N64" s="145">
        <v>0</v>
      </c>
      <c r="O64" s="151">
        <f t="shared" si="2"/>
        <v>300</v>
      </c>
    </row>
    <row r="65" spans="1:15" s="80" customFormat="1" ht="15" customHeight="1">
      <c r="A65" s="806"/>
      <c r="B65" s="806"/>
      <c r="C65" s="808"/>
      <c r="D65" s="22">
        <v>1</v>
      </c>
      <c r="E65" s="247"/>
      <c r="F65" s="22">
        <v>1</v>
      </c>
      <c r="G65" s="22"/>
      <c r="H65" s="22">
        <v>1</v>
      </c>
      <c r="I65" s="22" t="s">
        <v>212</v>
      </c>
      <c r="J65" s="22" t="s">
        <v>18</v>
      </c>
      <c r="K65" s="22">
        <v>2008</v>
      </c>
      <c r="L65" s="145">
        <v>200</v>
      </c>
      <c r="M65" s="151">
        <v>0</v>
      </c>
      <c r="N65" s="151">
        <v>0</v>
      </c>
      <c r="O65" s="151">
        <f t="shared" si="2"/>
        <v>200</v>
      </c>
    </row>
    <row r="66" spans="1:15" s="80" customFormat="1" ht="15" customHeight="1">
      <c r="A66" s="806"/>
      <c r="B66" s="806"/>
      <c r="C66" s="808"/>
      <c r="D66" s="22">
        <v>1</v>
      </c>
      <c r="E66" s="247"/>
      <c r="F66" s="22">
        <v>1</v>
      </c>
      <c r="G66" s="22">
        <v>1</v>
      </c>
      <c r="H66" s="22"/>
      <c r="I66" s="22" t="s">
        <v>212</v>
      </c>
      <c r="J66" s="22" t="s">
        <v>212</v>
      </c>
      <c r="K66" s="22">
        <v>2001</v>
      </c>
      <c r="L66" s="145">
        <v>250</v>
      </c>
      <c r="M66" s="151">
        <v>0</v>
      </c>
      <c r="N66" s="151">
        <v>0</v>
      </c>
      <c r="O66" s="151">
        <f t="shared" si="2"/>
        <v>250</v>
      </c>
    </row>
    <row r="67" spans="1:15" s="80" customFormat="1" ht="15" customHeight="1">
      <c r="A67" s="806"/>
      <c r="B67" s="806"/>
      <c r="C67" s="813"/>
      <c r="D67" s="22">
        <v>1</v>
      </c>
      <c r="E67" s="247"/>
      <c r="F67" s="22">
        <v>1</v>
      </c>
      <c r="G67" s="22"/>
      <c r="H67" s="22">
        <v>1</v>
      </c>
      <c r="I67" s="22" t="s">
        <v>212</v>
      </c>
      <c r="J67" s="22" t="s">
        <v>45</v>
      </c>
      <c r="K67" s="22">
        <v>2002</v>
      </c>
      <c r="L67" s="145">
        <v>0</v>
      </c>
      <c r="M67" s="151">
        <v>0</v>
      </c>
      <c r="N67" s="151">
        <v>100</v>
      </c>
      <c r="O67" s="151">
        <f t="shared" si="2"/>
        <v>100</v>
      </c>
    </row>
    <row r="68" spans="1:15" s="80" customFormat="1" ht="15" customHeight="1">
      <c r="A68" s="806"/>
      <c r="B68" s="806"/>
      <c r="C68" s="808"/>
      <c r="D68" s="22">
        <v>1</v>
      </c>
      <c r="E68" s="22"/>
      <c r="F68" s="22">
        <v>1</v>
      </c>
      <c r="G68" s="22">
        <v>1</v>
      </c>
      <c r="H68" s="250"/>
      <c r="I68" s="22" t="s">
        <v>212</v>
      </c>
      <c r="J68" s="15" t="s">
        <v>502</v>
      </c>
      <c r="K68" s="22">
        <v>2006</v>
      </c>
      <c r="L68" s="145">
        <v>0</v>
      </c>
      <c r="M68" s="145">
        <v>0</v>
      </c>
      <c r="N68" s="145">
        <v>600</v>
      </c>
      <c r="O68" s="151">
        <f t="shared" si="2"/>
        <v>600</v>
      </c>
    </row>
    <row r="69" spans="1:15" s="80" customFormat="1" ht="15" customHeight="1">
      <c r="A69" s="806"/>
      <c r="B69" s="806"/>
      <c r="C69" s="808"/>
      <c r="D69" s="22">
        <v>1</v>
      </c>
      <c r="E69" s="22"/>
      <c r="F69" s="22">
        <v>1</v>
      </c>
      <c r="G69" s="22">
        <v>1</v>
      </c>
      <c r="H69" s="250"/>
      <c r="I69" s="22" t="s">
        <v>212</v>
      </c>
      <c r="J69" s="22" t="s">
        <v>212</v>
      </c>
      <c r="K69" s="22">
        <v>1997</v>
      </c>
      <c r="L69" s="145">
        <v>230</v>
      </c>
      <c r="M69" s="145">
        <v>0</v>
      </c>
      <c r="N69" s="151">
        <v>0</v>
      </c>
      <c r="O69" s="151">
        <f t="shared" si="2"/>
        <v>230</v>
      </c>
    </row>
    <row r="70" spans="1:15" s="80" customFormat="1" ht="15" customHeight="1">
      <c r="A70" s="806"/>
      <c r="B70" s="807"/>
      <c r="C70" s="790"/>
      <c r="D70" s="22">
        <v>1</v>
      </c>
      <c r="E70" s="22"/>
      <c r="F70" s="22">
        <v>1</v>
      </c>
      <c r="G70" s="22"/>
      <c r="H70" s="22">
        <v>1</v>
      </c>
      <c r="I70" s="22" t="s">
        <v>212</v>
      </c>
      <c r="J70" s="22" t="s">
        <v>18</v>
      </c>
      <c r="K70" s="22">
        <v>2009</v>
      </c>
      <c r="L70" s="145">
        <v>150</v>
      </c>
      <c r="M70" s="145">
        <v>0</v>
      </c>
      <c r="N70" s="151">
        <v>0</v>
      </c>
      <c r="O70" s="151">
        <f t="shared" si="2"/>
        <v>150</v>
      </c>
    </row>
    <row r="71" spans="1:15" s="80" customFormat="1" ht="15" customHeight="1">
      <c r="A71" s="803"/>
      <c r="B71" s="804"/>
      <c r="C71" s="790"/>
      <c r="D71" s="22">
        <v>1</v>
      </c>
      <c r="E71" s="22">
        <v>1</v>
      </c>
      <c r="F71" s="22"/>
      <c r="G71" s="22"/>
      <c r="H71" s="33">
        <v>1</v>
      </c>
      <c r="I71" s="22" t="s">
        <v>212</v>
      </c>
      <c r="J71" s="22" t="s">
        <v>343</v>
      </c>
      <c r="K71" s="22">
        <v>2005</v>
      </c>
      <c r="L71" s="145">
        <v>0</v>
      </c>
      <c r="M71" s="145">
        <f>650+850</f>
        <v>1500</v>
      </c>
      <c r="N71" s="151">
        <v>0</v>
      </c>
      <c r="O71" s="151">
        <f t="shared" si="2"/>
        <v>1500</v>
      </c>
    </row>
    <row r="72" spans="1:15" s="80" customFormat="1" ht="15" customHeight="1">
      <c r="A72" s="791"/>
      <c r="B72" s="791"/>
      <c r="C72" s="790"/>
      <c r="D72" s="22">
        <v>1</v>
      </c>
      <c r="E72" s="399"/>
      <c r="F72" s="224">
        <v>1</v>
      </c>
      <c r="G72" s="22"/>
      <c r="H72" s="22">
        <v>1</v>
      </c>
      <c r="I72" s="22" t="s">
        <v>343</v>
      </c>
      <c r="J72" s="22" t="s">
        <v>343</v>
      </c>
      <c r="K72" s="22">
        <v>2000</v>
      </c>
      <c r="L72" s="145">
        <v>0</v>
      </c>
      <c r="M72" s="145">
        <f>500+665.5</f>
        <v>1165.5</v>
      </c>
      <c r="N72" s="151">
        <v>0</v>
      </c>
      <c r="O72" s="151">
        <f t="shared" si="2"/>
        <v>1165.5</v>
      </c>
    </row>
    <row r="73" spans="1:15" s="80" customFormat="1" ht="15" customHeight="1">
      <c r="A73" s="791"/>
      <c r="B73" s="791"/>
      <c r="C73" s="790"/>
      <c r="D73" s="22">
        <v>1</v>
      </c>
      <c r="E73" s="22"/>
      <c r="F73" s="22">
        <v>1</v>
      </c>
      <c r="G73" s="22"/>
      <c r="H73" s="77">
        <v>1</v>
      </c>
      <c r="I73" s="22" t="s">
        <v>212</v>
      </c>
      <c r="J73" s="22" t="s">
        <v>343</v>
      </c>
      <c r="K73" s="22">
        <v>2006</v>
      </c>
      <c r="L73" s="145">
        <v>0</v>
      </c>
      <c r="M73" s="145">
        <v>1050</v>
      </c>
      <c r="N73" s="151">
        <v>0</v>
      </c>
      <c r="O73" s="151">
        <f t="shared" si="2"/>
        <v>1050</v>
      </c>
    </row>
    <row r="74" spans="1:15" s="80" customFormat="1" ht="15" customHeight="1">
      <c r="A74" s="806"/>
      <c r="B74" s="806"/>
      <c r="C74" s="805"/>
      <c r="D74" s="22">
        <v>1</v>
      </c>
      <c r="E74" s="22">
        <v>1</v>
      </c>
      <c r="F74" s="224"/>
      <c r="G74" s="22">
        <v>1</v>
      </c>
      <c r="H74" s="22"/>
      <c r="I74" s="22" t="s">
        <v>212</v>
      </c>
      <c r="J74" s="22" t="s">
        <v>212</v>
      </c>
      <c r="K74" s="22">
        <v>2008</v>
      </c>
      <c r="L74" s="145">
        <v>1000</v>
      </c>
      <c r="M74" s="151">
        <v>0</v>
      </c>
      <c r="N74" s="151">
        <v>0</v>
      </c>
      <c r="O74" s="151">
        <f t="shared" si="2"/>
        <v>1000</v>
      </c>
    </row>
    <row r="75" spans="1:15" s="80" customFormat="1" ht="15" customHeight="1">
      <c r="A75" s="806"/>
      <c r="B75" s="807"/>
      <c r="C75" s="790"/>
      <c r="D75" s="22">
        <v>1</v>
      </c>
      <c r="E75" s="22">
        <v>1</v>
      </c>
      <c r="F75" s="22"/>
      <c r="G75" s="22"/>
      <c r="H75" s="22">
        <v>1</v>
      </c>
      <c r="I75" s="22" t="s">
        <v>212</v>
      </c>
      <c r="J75" s="22" t="s">
        <v>327</v>
      </c>
      <c r="K75" s="22">
        <v>2003</v>
      </c>
      <c r="L75" s="145">
        <v>330</v>
      </c>
      <c r="M75" s="151">
        <v>0</v>
      </c>
      <c r="N75" s="151">
        <v>0</v>
      </c>
      <c r="O75" s="151">
        <f t="shared" si="2"/>
        <v>330</v>
      </c>
    </row>
    <row r="76" spans="1:15" s="80" customFormat="1" ht="15" customHeight="1">
      <c r="A76" s="806"/>
      <c r="B76" s="807"/>
      <c r="C76" s="790"/>
      <c r="D76" s="22">
        <v>1</v>
      </c>
      <c r="E76" s="22">
        <v>1</v>
      </c>
      <c r="F76" s="22"/>
      <c r="G76" s="22"/>
      <c r="H76" s="22">
        <v>1</v>
      </c>
      <c r="I76" s="22" t="s">
        <v>212</v>
      </c>
      <c r="J76" s="15" t="s">
        <v>172</v>
      </c>
      <c r="K76" s="22">
        <v>2009</v>
      </c>
      <c r="L76" s="145">
        <v>200</v>
      </c>
      <c r="M76" s="151">
        <v>0</v>
      </c>
      <c r="N76" s="151">
        <v>0</v>
      </c>
      <c r="O76" s="151">
        <f t="shared" si="2"/>
        <v>200</v>
      </c>
    </row>
    <row r="77" spans="1:15" s="80" customFormat="1" ht="15" customHeight="1">
      <c r="A77" s="806"/>
      <c r="B77" s="807"/>
      <c r="C77" s="790"/>
      <c r="D77" s="22">
        <v>1</v>
      </c>
      <c r="E77" s="22"/>
      <c r="F77" s="22">
        <v>1</v>
      </c>
      <c r="G77" s="22"/>
      <c r="H77" s="22">
        <v>1</v>
      </c>
      <c r="I77" s="22" t="s">
        <v>212</v>
      </c>
      <c r="J77" s="15" t="s">
        <v>33</v>
      </c>
      <c r="K77" s="22">
        <v>2011</v>
      </c>
      <c r="L77" s="145">
        <v>1250</v>
      </c>
      <c r="M77" s="145">
        <v>0</v>
      </c>
      <c r="N77" s="145">
        <v>0</v>
      </c>
      <c r="O77" s="151">
        <f t="shared" si="2"/>
        <v>1250</v>
      </c>
    </row>
    <row r="78" spans="1:15" s="80" customFormat="1" ht="15" customHeight="1">
      <c r="A78" s="806"/>
      <c r="B78" s="807"/>
      <c r="C78" s="814"/>
      <c r="D78" s="22">
        <v>1</v>
      </c>
      <c r="E78" s="22"/>
      <c r="F78" s="22">
        <v>1</v>
      </c>
      <c r="G78" s="22"/>
      <c r="H78" s="22">
        <v>1</v>
      </c>
      <c r="I78" s="22" t="s">
        <v>18</v>
      </c>
      <c r="J78" s="22" t="s">
        <v>18</v>
      </c>
      <c r="K78" s="22">
        <v>1996</v>
      </c>
      <c r="L78" s="145">
        <v>252</v>
      </c>
      <c r="M78" s="145">
        <v>250</v>
      </c>
      <c r="N78" s="145">
        <v>248</v>
      </c>
      <c r="O78" s="151">
        <f t="shared" si="2"/>
        <v>750</v>
      </c>
    </row>
    <row r="79" spans="1:15" s="80" customFormat="1" ht="15" customHeight="1">
      <c r="A79" s="806"/>
      <c r="B79" s="807"/>
      <c r="C79" s="790"/>
      <c r="D79" s="22">
        <v>1</v>
      </c>
      <c r="E79" s="22">
        <v>1</v>
      </c>
      <c r="F79" s="22"/>
      <c r="G79" s="22">
        <v>1</v>
      </c>
      <c r="H79" s="22"/>
      <c r="I79" s="22" t="s">
        <v>212</v>
      </c>
      <c r="J79" s="22" t="s">
        <v>352</v>
      </c>
      <c r="K79" s="22">
        <v>2006</v>
      </c>
      <c r="L79" s="145">
        <v>250</v>
      </c>
      <c r="M79" s="145">
        <v>0</v>
      </c>
      <c r="N79" s="145">
        <v>0</v>
      </c>
      <c r="O79" s="151">
        <f t="shared" si="2"/>
        <v>250</v>
      </c>
    </row>
    <row r="80" spans="1:15" s="80" customFormat="1" ht="15" customHeight="1">
      <c r="A80" s="806"/>
      <c r="B80" s="807"/>
      <c r="C80" s="790"/>
      <c r="D80" s="22">
        <v>1</v>
      </c>
      <c r="E80" s="247"/>
      <c r="F80" s="22">
        <v>1</v>
      </c>
      <c r="G80" s="22"/>
      <c r="H80" s="22">
        <v>1</v>
      </c>
      <c r="I80" s="22" t="s">
        <v>212</v>
      </c>
      <c r="J80" s="22" t="s">
        <v>31</v>
      </c>
      <c r="K80" s="22">
        <v>2001</v>
      </c>
      <c r="L80" s="145">
        <v>550</v>
      </c>
      <c r="M80" s="145">
        <v>0</v>
      </c>
      <c r="N80" s="145">
        <v>600</v>
      </c>
      <c r="O80" s="151">
        <f t="shared" si="2"/>
        <v>1150</v>
      </c>
    </row>
    <row r="81" spans="1:15" s="80" customFormat="1" ht="15" customHeight="1">
      <c r="A81" s="806"/>
      <c r="B81" s="807"/>
      <c r="C81" s="790"/>
      <c r="D81" s="22">
        <v>1</v>
      </c>
      <c r="E81" s="247">
        <v>1</v>
      </c>
      <c r="F81" s="22"/>
      <c r="G81" s="22"/>
      <c r="H81" s="22">
        <v>1</v>
      </c>
      <c r="I81" s="22" t="s">
        <v>327</v>
      </c>
      <c r="J81" s="22" t="s">
        <v>327</v>
      </c>
      <c r="K81" s="22">
        <v>1997</v>
      </c>
      <c r="L81" s="145">
        <v>300</v>
      </c>
      <c r="M81" s="145">
        <v>0</v>
      </c>
      <c r="N81" s="145">
        <v>0</v>
      </c>
      <c r="O81" s="151">
        <f t="shared" si="2"/>
        <v>300</v>
      </c>
    </row>
    <row r="82" spans="1:15" s="80" customFormat="1" ht="15" customHeight="1">
      <c r="A82" s="806"/>
      <c r="B82" s="807"/>
      <c r="C82" s="790"/>
      <c r="D82" s="22">
        <v>1</v>
      </c>
      <c r="E82" s="247"/>
      <c r="F82" s="22">
        <v>1</v>
      </c>
      <c r="G82" s="22">
        <v>1</v>
      </c>
      <c r="H82" s="22"/>
      <c r="I82" s="22" t="s">
        <v>212</v>
      </c>
      <c r="J82" s="22" t="s">
        <v>212</v>
      </c>
      <c r="K82" s="22">
        <v>2001</v>
      </c>
      <c r="L82" s="145">
        <v>0</v>
      </c>
      <c r="M82" s="145">
        <v>0</v>
      </c>
      <c r="N82" s="145">
        <v>330</v>
      </c>
      <c r="O82" s="151">
        <f t="shared" si="2"/>
        <v>330</v>
      </c>
    </row>
    <row r="83" spans="1:15" s="80" customFormat="1" ht="15" customHeight="1">
      <c r="A83" s="806"/>
      <c r="B83" s="807"/>
      <c r="C83" s="790"/>
      <c r="D83" s="22">
        <v>1</v>
      </c>
      <c r="E83" s="247">
        <v>1</v>
      </c>
      <c r="F83" s="22"/>
      <c r="G83" s="22"/>
      <c r="H83" s="22">
        <v>1</v>
      </c>
      <c r="I83" s="22" t="s">
        <v>212</v>
      </c>
      <c r="J83" s="22" t="s">
        <v>327</v>
      </c>
      <c r="K83" s="22">
        <v>2005</v>
      </c>
      <c r="L83" s="145">
        <v>0</v>
      </c>
      <c r="M83" s="145">
        <v>2950</v>
      </c>
      <c r="N83" s="145">
        <v>0</v>
      </c>
      <c r="O83" s="151">
        <f t="shared" si="2"/>
        <v>2950</v>
      </c>
    </row>
    <row r="84" spans="1:15" s="80" customFormat="1" ht="15" customHeight="1">
      <c r="A84" s="806"/>
      <c r="B84" s="807"/>
      <c r="C84" s="790"/>
      <c r="D84" s="22">
        <v>1</v>
      </c>
      <c r="E84" s="247"/>
      <c r="F84" s="22">
        <v>1</v>
      </c>
      <c r="G84" s="22"/>
      <c r="H84" s="22">
        <v>1</v>
      </c>
      <c r="I84" s="22" t="s">
        <v>327</v>
      </c>
      <c r="J84" s="22" t="s">
        <v>327</v>
      </c>
      <c r="K84" s="22">
        <v>2004</v>
      </c>
      <c r="L84" s="145">
        <v>250</v>
      </c>
      <c r="M84" s="145">
        <v>0</v>
      </c>
      <c r="N84" s="145">
        <v>0</v>
      </c>
      <c r="O84" s="151">
        <f t="shared" si="2"/>
        <v>250</v>
      </c>
    </row>
    <row r="85" spans="1:15" s="80" customFormat="1" ht="15" customHeight="1">
      <c r="A85" s="806"/>
      <c r="B85" s="807"/>
      <c r="C85" s="790"/>
      <c r="D85" s="22">
        <v>1</v>
      </c>
      <c r="E85" s="247"/>
      <c r="F85" s="22">
        <v>1</v>
      </c>
      <c r="G85" s="22"/>
      <c r="H85" s="22">
        <v>1</v>
      </c>
      <c r="I85" s="22" t="s">
        <v>327</v>
      </c>
      <c r="J85" s="22" t="s">
        <v>327</v>
      </c>
      <c r="K85" s="22">
        <v>2000</v>
      </c>
      <c r="L85" s="145">
        <v>813</v>
      </c>
      <c r="M85" s="145">
        <v>0</v>
      </c>
      <c r="N85" s="145">
        <v>250</v>
      </c>
      <c r="O85" s="151">
        <f t="shared" si="2"/>
        <v>1063</v>
      </c>
    </row>
    <row r="86" spans="1:15" s="80" customFormat="1" ht="15" customHeight="1">
      <c r="A86" s="806"/>
      <c r="B86" s="807"/>
      <c r="C86" s="790"/>
      <c r="D86" s="22">
        <v>1</v>
      </c>
      <c r="E86" s="247">
        <v>1</v>
      </c>
      <c r="F86" s="22"/>
      <c r="G86" s="22"/>
      <c r="H86" s="22">
        <v>1</v>
      </c>
      <c r="I86" s="22" t="s">
        <v>327</v>
      </c>
      <c r="J86" s="22" t="s">
        <v>327</v>
      </c>
      <c r="K86" s="22">
        <v>2001</v>
      </c>
      <c r="L86" s="145">
        <v>700</v>
      </c>
      <c r="M86" s="145">
        <v>0</v>
      </c>
      <c r="N86" s="145">
        <v>0</v>
      </c>
      <c r="O86" s="151">
        <f t="shared" si="2"/>
        <v>700</v>
      </c>
    </row>
    <row r="87" spans="1:15" s="80" customFormat="1" ht="15" customHeight="1">
      <c r="A87" s="806"/>
      <c r="B87" s="807"/>
      <c r="C87" s="790"/>
      <c r="D87" s="22">
        <v>1</v>
      </c>
      <c r="E87" s="247">
        <v>1</v>
      </c>
      <c r="F87" s="22"/>
      <c r="G87" s="22"/>
      <c r="H87" s="22">
        <v>1</v>
      </c>
      <c r="I87" s="22" t="s">
        <v>18</v>
      </c>
      <c r="J87" s="15" t="s">
        <v>18</v>
      </c>
      <c r="K87" s="22">
        <v>1998</v>
      </c>
      <c r="L87" s="145">
        <v>0</v>
      </c>
      <c r="M87" s="145">
        <v>0</v>
      </c>
      <c r="N87" s="145">
        <v>220</v>
      </c>
      <c r="O87" s="151">
        <f t="shared" si="2"/>
        <v>220</v>
      </c>
    </row>
    <row r="88" spans="1:15" s="80" customFormat="1" ht="15" customHeight="1">
      <c r="A88" s="806"/>
      <c r="B88" s="807"/>
      <c r="C88" s="790"/>
      <c r="D88" s="22">
        <v>1</v>
      </c>
      <c r="E88" s="247"/>
      <c r="F88" s="22">
        <v>1</v>
      </c>
      <c r="G88" s="22"/>
      <c r="H88" s="22">
        <v>1</v>
      </c>
      <c r="I88" s="22" t="s">
        <v>212</v>
      </c>
      <c r="J88" s="22" t="s">
        <v>18</v>
      </c>
      <c r="K88" s="22">
        <v>2005</v>
      </c>
      <c r="L88" s="145">
        <v>120</v>
      </c>
      <c r="M88" s="145">
        <v>0</v>
      </c>
      <c r="N88" s="145">
        <v>200</v>
      </c>
      <c r="O88" s="151">
        <f t="shared" si="2"/>
        <v>320</v>
      </c>
    </row>
    <row r="89" spans="1:15" s="80" customFormat="1" ht="15" customHeight="1">
      <c r="A89" s="806"/>
      <c r="B89" s="806"/>
      <c r="C89" s="815"/>
      <c r="D89" s="22">
        <v>1</v>
      </c>
      <c r="E89" s="22">
        <v>1</v>
      </c>
      <c r="F89" s="22"/>
      <c r="G89" s="22">
        <v>1</v>
      </c>
      <c r="H89" s="22"/>
      <c r="I89" s="22" t="s">
        <v>212</v>
      </c>
      <c r="J89" s="22" t="s">
        <v>385</v>
      </c>
      <c r="K89" s="22">
        <v>2002</v>
      </c>
      <c r="L89" s="145">
        <v>150</v>
      </c>
      <c r="M89" s="145">
        <v>0</v>
      </c>
      <c r="N89" s="145">
        <v>0</v>
      </c>
      <c r="O89" s="151">
        <f aca="true" t="shared" si="3" ref="O89:O120">L89+M89+N89</f>
        <v>150</v>
      </c>
    </row>
    <row r="90" spans="1:15" s="80" customFormat="1" ht="15" customHeight="1">
      <c r="A90" s="806"/>
      <c r="B90" s="807"/>
      <c r="C90" s="790"/>
      <c r="D90" s="22">
        <v>1</v>
      </c>
      <c r="E90" s="247"/>
      <c r="F90" s="22">
        <v>1</v>
      </c>
      <c r="G90" s="22"/>
      <c r="H90" s="22">
        <v>1</v>
      </c>
      <c r="I90" s="22" t="s">
        <v>212</v>
      </c>
      <c r="J90" s="22" t="s">
        <v>96</v>
      </c>
      <c r="K90" s="22">
        <v>2009</v>
      </c>
      <c r="L90" s="145">
        <v>0</v>
      </c>
      <c r="M90" s="145">
        <v>800</v>
      </c>
      <c r="N90" s="145">
        <v>0</v>
      </c>
      <c r="O90" s="151">
        <f t="shared" si="3"/>
        <v>800</v>
      </c>
    </row>
    <row r="91" spans="1:15" s="80" customFormat="1" ht="15" customHeight="1">
      <c r="A91" s="806"/>
      <c r="B91" s="807"/>
      <c r="C91" s="790"/>
      <c r="D91" s="22">
        <v>1</v>
      </c>
      <c r="E91" s="247"/>
      <c r="F91" s="22">
        <v>1</v>
      </c>
      <c r="G91" s="22"/>
      <c r="H91" s="22">
        <v>1</v>
      </c>
      <c r="I91" s="22" t="s">
        <v>327</v>
      </c>
      <c r="J91" s="22" t="s">
        <v>327</v>
      </c>
      <c r="K91" s="22">
        <v>2000</v>
      </c>
      <c r="L91" s="145">
        <v>0</v>
      </c>
      <c r="M91" s="145">
        <v>0</v>
      </c>
      <c r="N91" s="145">
        <v>140</v>
      </c>
      <c r="O91" s="151">
        <f t="shared" si="3"/>
        <v>140</v>
      </c>
    </row>
    <row r="92" spans="1:15" s="80" customFormat="1" ht="15" customHeight="1">
      <c r="A92" s="806"/>
      <c r="B92" s="807"/>
      <c r="C92" s="790"/>
      <c r="D92" s="22">
        <v>1</v>
      </c>
      <c r="E92" s="22"/>
      <c r="F92" s="22">
        <v>1</v>
      </c>
      <c r="G92" s="22">
        <v>1</v>
      </c>
      <c r="H92" s="22"/>
      <c r="I92" s="22" t="s">
        <v>212</v>
      </c>
      <c r="J92" s="15" t="s">
        <v>368</v>
      </c>
      <c r="K92" s="22">
        <v>1997</v>
      </c>
      <c r="L92" s="145">
        <v>100</v>
      </c>
      <c r="M92" s="145">
        <v>100</v>
      </c>
      <c r="N92" s="145">
        <v>530</v>
      </c>
      <c r="O92" s="151">
        <f t="shared" si="3"/>
        <v>730</v>
      </c>
    </row>
    <row r="93" spans="1:15" s="80" customFormat="1" ht="15" customHeight="1">
      <c r="A93" s="806"/>
      <c r="B93" s="807"/>
      <c r="C93" s="790"/>
      <c r="D93" s="22">
        <v>1</v>
      </c>
      <c r="E93" s="22"/>
      <c r="F93" s="22">
        <v>1</v>
      </c>
      <c r="G93" s="22"/>
      <c r="H93" s="22">
        <v>1</v>
      </c>
      <c r="I93" s="22" t="s">
        <v>327</v>
      </c>
      <c r="J93" s="15" t="s">
        <v>327</v>
      </c>
      <c r="K93" s="22">
        <v>1996</v>
      </c>
      <c r="L93" s="145">
        <v>0</v>
      </c>
      <c r="M93" s="145">
        <v>0</v>
      </c>
      <c r="N93" s="145">
        <v>200</v>
      </c>
      <c r="O93" s="151">
        <f t="shared" si="3"/>
        <v>200</v>
      </c>
    </row>
    <row r="94" spans="1:15" s="80" customFormat="1" ht="15" customHeight="1">
      <c r="A94" s="806"/>
      <c r="B94" s="807"/>
      <c r="C94" s="790"/>
      <c r="D94" s="22">
        <v>1</v>
      </c>
      <c r="E94" s="22"/>
      <c r="F94" s="22">
        <v>1</v>
      </c>
      <c r="G94" s="22">
        <v>1</v>
      </c>
      <c r="H94" s="22"/>
      <c r="I94" s="22" t="s">
        <v>212</v>
      </c>
      <c r="J94" s="15" t="s">
        <v>212</v>
      </c>
      <c r="K94" s="22">
        <v>2011</v>
      </c>
      <c r="L94" s="145">
        <v>0</v>
      </c>
      <c r="M94" s="151">
        <v>1610</v>
      </c>
      <c r="N94" s="151">
        <v>0</v>
      </c>
      <c r="O94" s="151">
        <f t="shared" si="3"/>
        <v>1610</v>
      </c>
    </row>
    <row r="95" spans="1:15" s="80" customFormat="1" ht="15" customHeight="1">
      <c r="A95" s="806"/>
      <c r="B95" s="807"/>
      <c r="C95" s="790"/>
      <c r="D95" s="22">
        <v>1</v>
      </c>
      <c r="E95" s="399">
        <v>1</v>
      </c>
      <c r="F95" s="22"/>
      <c r="G95" s="22">
        <v>1</v>
      </c>
      <c r="H95" s="22"/>
      <c r="I95" s="22" t="s">
        <v>212</v>
      </c>
      <c r="J95" s="15" t="s">
        <v>212</v>
      </c>
      <c r="K95" s="22">
        <v>2001</v>
      </c>
      <c r="L95" s="145">
        <v>500</v>
      </c>
      <c r="M95" s="151">
        <v>1390</v>
      </c>
      <c r="N95" s="151">
        <v>0</v>
      </c>
      <c r="O95" s="151">
        <f t="shared" si="3"/>
        <v>1890</v>
      </c>
    </row>
    <row r="96" spans="1:15" s="80" customFormat="1" ht="15" customHeight="1">
      <c r="A96" s="806"/>
      <c r="B96" s="806"/>
      <c r="C96" s="808"/>
      <c r="D96" s="22">
        <v>1</v>
      </c>
      <c r="E96" s="247"/>
      <c r="F96" s="22">
        <v>1</v>
      </c>
      <c r="G96" s="22">
        <v>1</v>
      </c>
      <c r="H96" s="22"/>
      <c r="I96" s="22" t="s">
        <v>212</v>
      </c>
      <c r="J96" s="15" t="s">
        <v>212</v>
      </c>
      <c r="K96" s="22">
        <v>1999</v>
      </c>
      <c r="L96" s="145">
        <v>240</v>
      </c>
      <c r="M96" s="151">
        <v>0</v>
      </c>
      <c r="N96" s="151">
        <v>630</v>
      </c>
      <c r="O96" s="151">
        <f t="shared" si="3"/>
        <v>870</v>
      </c>
    </row>
    <row r="97" spans="1:15" s="80" customFormat="1" ht="15" customHeight="1">
      <c r="A97" s="806"/>
      <c r="B97" s="806"/>
      <c r="C97" s="805"/>
      <c r="D97" s="22">
        <v>1</v>
      </c>
      <c r="E97" s="22">
        <v>1</v>
      </c>
      <c r="F97" s="224"/>
      <c r="G97" s="224">
        <v>1</v>
      </c>
      <c r="H97" s="224"/>
      <c r="I97" s="22" t="s">
        <v>212</v>
      </c>
      <c r="J97" s="15" t="s">
        <v>212</v>
      </c>
      <c r="K97" s="22">
        <v>1997</v>
      </c>
      <c r="L97" s="145">
        <v>231.79</v>
      </c>
      <c r="M97" s="151">
        <v>0</v>
      </c>
      <c r="N97" s="151">
        <v>0</v>
      </c>
      <c r="O97" s="151">
        <f t="shared" si="3"/>
        <v>231.79</v>
      </c>
    </row>
    <row r="98" spans="1:15" s="80" customFormat="1" ht="15" customHeight="1">
      <c r="A98" s="806"/>
      <c r="B98" s="807"/>
      <c r="C98" s="790"/>
      <c r="D98" s="22">
        <v>1</v>
      </c>
      <c r="E98" s="247"/>
      <c r="F98" s="22">
        <v>1</v>
      </c>
      <c r="G98" s="22">
        <v>1</v>
      </c>
      <c r="H98" s="22"/>
      <c r="I98" s="22" t="s">
        <v>212</v>
      </c>
      <c r="J98" s="15" t="s">
        <v>212</v>
      </c>
      <c r="K98" s="22">
        <v>2005</v>
      </c>
      <c r="L98" s="145">
        <v>105.52</v>
      </c>
      <c r="M98" s="151">
        <v>0</v>
      </c>
      <c r="N98" s="151">
        <v>0</v>
      </c>
      <c r="O98" s="151">
        <f t="shared" si="3"/>
        <v>105.52</v>
      </c>
    </row>
    <row r="99" spans="1:15" s="80" customFormat="1" ht="15" customHeight="1">
      <c r="A99" s="806"/>
      <c r="B99" s="806"/>
      <c r="C99" s="808"/>
      <c r="D99" s="22">
        <v>1</v>
      </c>
      <c r="E99" s="22">
        <v>1</v>
      </c>
      <c r="F99" s="22"/>
      <c r="G99" s="22"/>
      <c r="H99" s="22">
        <v>1</v>
      </c>
      <c r="I99" s="22" t="s">
        <v>212</v>
      </c>
      <c r="J99" s="15" t="s">
        <v>33</v>
      </c>
      <c r="K99" s="22">
        <v>2004</v>
      </c>
      <c r="L99" s="145">
        <v>570</v>
      </c>
      <c r="M99" s="151">
        <v>0</v>
      </c>
      <c r="N99" s="151">
        <v>0</v>
      </c>
      <c r="O99" s="151">
        <f t="shared" si="3"/>
        <v>570</v>
      </c>
    </row>
    <row r="100" spans="1:15" s="80" customFormat="1" ht="15" customHeight="1">
      <c r="A100" s="806"/>
      <c r="B100" s="807"/>
      <c r="C100" s="814"/>
      <c r="D100" s="22">
        <v>1</v>
      </c>
      <c r="E100" s="22">
        <v>1</v>
      </c>
      <c r="F100" s="22"/>
      <c r="G100" s="22">
        <v>1</v>
      </c>
      <c r="H100" s="250"/>
      <c r="I100" s="22" t="s">
        <v>212</v>
      </c>
      <c r="J100" s="15" t="s">
        <v>212</v>
      </c>
      <c r="K100" s="22">
        <v>1999</v>
      </c>
      <c r="L100" s="145">
        <v>400</v>
      </c>
      <c r="M100" s="151">
        <v>0</v>
      </c>
      <c r="N100" s="151">
        <v>210</v>
      </c>
      <c r="O100" s="151">
        <f t="shared" si="3"/>
        <v>610</v>
      </c>
    </row>
    <row r="101" spans="1:15" s="80" customFormat="1" ht="15" customHeight="1">
      <c r="A101" s="806"/>
      <c r="B101" s="806"/>
      <c r="C101" s="808"/>
      <c r="D101" s="22">
        <v>1</v>
      </c>
      <c r="E101" s="22"/>
      <c r="F101" s="22">
        <v>1</v>
      </c>
      <c r="G101" s="22"/>
      <c r="H101" s="250">
        <v>1</v>
      </c>
      <c r="I101" s="33" t="s">
        <v>369</v>
      </c>
      <c r="J101" s="15" t="s">
        <v>343</v>
      </c>
      <c r="K101" s="22" t="s">
        <v>369</v>
      </c>
      <c r="L101" s="145">
        <v>250</v>
      </c>
      <c r="M101" s="151">
        <v>0</v>
      </c>
      <c r="N101" s="151">
        <v>0</v>
      </c>
      <c r="O101" s="151">
        <f t="shared" si="3"/>
        <v>250</v>
      </c>
    </row>
    <row r="102" spans="1:15" s="80" customFormat="1" ht="15" customHeight="1">
      <c r="A102" s="806"/>
      <c r="B102" s="807"/>
      <c r="C102" s="790"/>
      <c r="D102" s="22">
        <v>1</v>
      </c>
      <c r="E102" s="22">
        <v>1</v>
      </c>
      <c r="F102" s="22"/>
      <c r="G102" s="22">
        <v>1</v>
      </c>
      <c r="H102" s="22"/>
      <c r="I102" s="22" t="s">
        <v>212</v>
      </c>
      <c r="J102" s="15" t="s">
        <v>212</v>
      </c>
      <c r="K102" s="22">
        <v>1995</v>
      </c>
      <c r="L102" s="145">
        <v>200</v>
      </c>
      <c r="M102" s="151">
        <v>340</v>
      </c>
      <c r="N102" s="151">
        <v>0</v>
      </c>
      <c r="O102" s="151">
        <f t="shared" si="3"/>
        <v>540</v>
      </c>
    </row>
    <row r="103" spans="1:15" s="80" customFormat="1" ht="15" customHeight="1">
      <c r="A103" s="806"/>
      <c r="B103" s="807"/>
      <c r="C103" s="790"/>
      <c r="D103" s="22">
        <v>1</v>
      </c>
      <c r="E103" s="22">
        <v>1</v>
      </c>
      <c r="F103" s="22"/>
      <c r="G103" s="22">
        <v>1</v>
      </c>
      <c r="H103" s="22"/>
      <c r="I103" s="22" t="s">
        <v>212</v>
      </c>
      <c r="J103" s="15" t="s">
        <v>212</v>
      </c>
      <c r="K103" s="22">
        <v>2004</v>
      </c>
      <c r="L103" s="145">
        <v>150</v>
      </c>
      <c r="M103" s="151">
        <v>0</v>
      </c>
      <c r="N103" s="151">
        <v>0</v>
      </c>
      <c r="O103" s="151">
        <f t="shared" si="3"/>
        <v>150</v>
      </c>
    </row>
    <row r="104" spans="1:15" s="80" customFormat="1" ht="15" customHeight="1">
      <c r="A104" s="806"/>
      <c r="B104" s="807"/>
      <c r="C104" s="790"/>
      <c r="D104" s="22">
        <v>1</v>
      </c>
      <c r="E104" s="22">
        <v>1</v>
      </c>
      <c r="F104" s="22"/>
      <c r="G104" s="22"/>
      <c r="H104" s="22">
        <v>1</v>
      </c>
      <c r="I104" s="22" t="s">
        <v>498</v>
      </c>
      <c r="J104" s="15" t="s">
        <v>498</v>
      </c>
      <c r="K104" s="22">
        <v>2000</v>
      </c>
      <c r="L104" s="145">
        <v>200</v>
      </c>
      <c r="M104" s="151">
        <v>0</v>
      </c>
      <c r="N104" s="151">
        <v>0</v>
      </c>
      <c r="O104" s="151">
        <f t="shared" si="3"/>
        <v>200</v>
      </c>
    </row>
    <row r="105" spans="1:15" s="80" customFormat="1" ht="15" customHeight="1">
      <c r="A105" s="806"/>
      <c r="B105" s="806"/>
      <c r="C105" s="815"/>
      <c r="D105" s="22">
        <v>1</v>
      </c>
      <c r="E105" s="22"/>
      <c r="F105" s="22">
        <v>1</v>
      </c>
      <c r="G105" s="22"/>
      <c r="H105" s="22">
        <v>1</v>
      </c>
      <c r="I105" s="22" t="s">
        <v>498</v>
      </c>
      <c r="J105" s="22" t="s">
        <v>498</v>
      </c>
      <c r="K105" s="22">
        <v>2010</v>
      </c>
      <c r="L105" s="145">
        <v>300</v>
      </c>
      <c r="M105" s="151">
        <v>0</v>
      </c>
      <c r="N105" s="151">
        <v>0</v>
      </c>
      <c r="O105" s="151">
        <f t="shared" si="3"/>
        <v>300</v>
      </c>
    </row>
    <row r="106" spans="1:15" s="80" customFormat="1" ht="15" customHeight="1">
      <c r="A106" s="791"/>
      <c r="B106" s="791"/>
      <c r="C106" s="790"/>
      <c r="D106" s="22">
        <v>1</v>
      </c>
      <c r="E106" s="22">
        <v>1</v>
      </c>
      <c r="F106" s="22"/>
      <c r="G106" s="22"/>
      <c r="H106" s="22">
        <v>1</v>
      </c>
      <c r="I106" s="22" t="s">
        <v>212</v>
      </c>
      <c r="J106" s="33" t="s">
        <v>18</v>
      </c>
      <c r="K106" s="22">
        <v>2009</v>
      </c>
      <c r="L106" s="145">
        <v>1250</v>
      </c>
      <c r="M106" s="151">
        <v>0</v>
      </c>
      <c r="N106" s="151">
        <v>0</v>
      </c>
      <c r="O106" s="151">
        <f t="shared" si="3"/>
        <v>1250</v>
      </c>
    </row>
    <row r="107" spans="1:15" s="80" customFormat="1" ht="15" customHeight="1">
      <c r="A107" s="806"/>
      <c r="B107" s="807"/>
      <c r="C107" s="790"/>
      <c r="D107" s="22">
        <v>1</v>
      </c>
      <c r="E107" s="22"/>
      <c r="F107" s="22">
        <v>1</v>
      </c>
      <c r="G107" s="22"/>
      <c r="H107" s="22">
        <v>1</v>
      </c>
      <c r="I107" s="22" t="s">
        <v>497</v>
      </c>
      <c r="J107" s="22" t="s">
        <v>497</v>
      </c>
      <c r="K107" s="22">
        <v>2009</v>
      </c>
      <c r="L107" s="145">
        <v>200</v>
      </c>
      <c r="M107" s="151">
        <v>0</v>
      </c>
      <c r="N107" s="151">
        <v>0</v>
      </c>
      <c r="O107" s="151">
        <f t="shared" si="3"/>
        <v>200</v>
      </c>
    </row>
    <row r="108" spans="1:15" s="80" customFormat="1" ht="15" customHeight="1">
      <c r="A108" s="806"/>
      <c r="B108" s="807"/>
      <c r="C108" s="790"/>
      <c r="D108" s="22">
        <v>1</v>
      </c>
      <c r="E108" s="22">
        <v>1</v>
      </c>
      <c r="F108" s="22"/>
      <c r="G108" s="22"/>
      <c r="H108" s="22">
        <v>1</v>
      </c>
      <c r="I108" s="22" t="s">
        <v>212</v>
      </c>
      <c r="J108" s="22" t="s">
        <v>495</v>
      </c>
      <c r="K108" s="22">
        <v>2008</v>
      </c>
      <c r="L108" s="145">
        <v>540</v>
      </c>
      <c r="M108" s="151">
        <v>0</v>
      </c>
      <c r="N108" s="151">
        <v>0</v>
      </c>
      <c r="O108" s="151">
        <f t="shared" si="3"/>
        <v>540</v>
      </c>
    </row>
    <row r="109" spans="1:15" s="80" customFormat="1" ht="15" customHeight="1">
      <c r="A109" s="806"/>
      <c r="B109" s="807"/>
      <c r="C109" s="790"/>
      <c r="D109" s="22">
        <v>1</v>
      </c>
      <c r="E109" s="22"/>
      <c r="F109" s="22">
        <v>1</v>
      </c>
      <c r="G109" s="22"/>
      <c r="H109" s="22">
        <v>1</v>
      </c>
      <c r="I109" s="22" t="s">
        <v>497</v>
      </c>
      <c r="J109" s="22" t="s">
        <v>497</v>
      </c>
      <c r="K109" s="22">
        <v>2001</v>
      </c>
      <c r="L109" s="145">
        <v>0</v>
      </c>
      <c r="M109" s="151">
        <v>0</v>
      </c>
      <c r="N109" s="151">
        <v>300</v>
      </c>
      <c r="O109" s="151">
        <f t="shared" si="3"/>
        <v>300</v>
      </c>
    </row>
    <row r="110" spans="1:15" s="80" customFormat="1" ht="15" customHeight="1">
      <c r="A110" s="806"/>
      <c r="B110" s="807"/>
      <c r="C110" s="790"/>
      <c r="D110" s="22">
        <v>1</v>
      </c>
      <c r="E110" s="22"/>
      <c r="F110" s="22">
        <v>1</v>
      </c>
      <c r="G110" s="22"/>
      <c r="H110" s="22">
        <v>1</v>
      </c>
      <c r="I110" s="22" t="s">
        <v>212</v>
      </c>
      <c r="J110" s="22" t="s">
        <v>497</v>
      </c>
      <c r="K110" s="22">
        <v>2010</v>
      </c>
      <c r="L110" s="145">
        <v>955</v>
      </c>
      <c r="M110" s="151">
        <v>1440</v>
      </c>
      <c r="N110" s="151">
        <v>0</v>
      </c>
      <c r="O110" s="151">
        <f t="shared" si="3"/>
        <v>2395</v>
      </c>
    </row>
    <row r="111" spans="1:15" s="80" customFormat="1" ht="15" customHeight="1">
      <c r="A111" s="806"/>
      <c r="B111" s="807"/>
      <c r="C111" s="790"/>
      <c r="D111" s="22">
        <v>1</v>
      </c>
      <c r="E111" s="22"/>
      <c r="F111" s="22">
        <v>1</v>
      </c>
      <c r="G111" s="22">
        <v>1</v>
      </c>
      <c r="H111" s="22"/>
      <c r="I111" s="22" t="s">
        <v>212</v>
      </c>
      <c r="J111" s="15" t="s">
        <v>212</v>
      </c>
      <c r="K111" s="22">
        <v>2000</v>
      </c>
      <c r="L111" s="145">
        <v>100</v>
      </c>
      <c r="M111" s="151">
        <v>0</v>
      </c>
      <c r="N111" s="151">
        <v>0</v>
      </c>
      <c r="O111" s="151">
        <f t="shared" si="3"/>
        <v>100</v>
      </c>
    </row>
    <row r="112" spans="1:15" s="80" customFormat="1" ht="15" customHeight="1">
      <c r="A112" s="791"/>
      <c r="B112" s="816"/>
      <c r="C112" s="790"/>
      <c r="D112" s="22">
        <v>1</v>
      </c>
      <c r="E112" s="22">
        <v>1</v>
      </c>
      <c r="F112" s="22"/>
      <c r="G112" s="22"/>
      <c r="H112" s="22">
        <v>1</v>
      </c>
      <c r="I112" s="22" t="s">
        <v>327</v>
      </c>
      <c r="J112" s="15" t="s">
        <v>327</v>
      </c>
      <c r="K112" s="22">
        <v>2004</v>
      </c>
      <c r="L112" s="145">
        <v>200</v>
      </c>
      <c r="M112" s="151">
        <v>1300</v>
      </c>
      <c r="N112" s="151">
        <v>0</v>
      </c>
      <c r="O112" s="151">
        <f t="shared" si="3"/>
        <v>1500</v>
      </c>
    </row>
    <row r="113" spans="1:15" s="80" customFormat="1" ht="15" customHeight="1">
      <c r="A113" s="806"/>
      <c r="B113" s="807"/>
      <c r="C113" s="790"/>
      <c r="D113" s="22">
        <v>1</v>
      </c>
      <c r="E113" s="399"/>
      <c r="F113" s="22">
        <v>1</v>
      </c>
      <c r="G113" s="22"/>
      <c r="H113" s="22">
        <v>1</v>
      </c>
      <c r="I113" s="22" t="s">
        <v>127</v>
      </c>
      <c r="J113" s="15" t="s">
        <v>127</v>
      </c>
      <c r="K113" s="22">
        <v>2001</v>
      </c>
      <c r="L113" s="145">
        <v>0</v>
      </c>
      <c r="M113" s="151">
        <v>0</v>
      </c>
      <c r="N113" s="151">
        <v>250</v>
      </c>
      <c r="O113" s="151">
        <f t="shared" si="3"/>
        <v>250</v>
      </c>
    </row>
    <row r="114" spans="1:15" s="80" customFormat="1" ht="15" customHeight="1">
      <c r="A114" s="806"/>
      <c r="B114" s="807"/>
      <c r="C114" s="790"/>
      <c r="D114" s="22">
        <v>1</v>
      </c>
      <c r="E114" s="247">
        <v>1</v>
      </c>
      <c r="F114" s="22"/>
      <c r="G114" s="22"/>
      <c r="H114" s="22">
        <v>1</v>
      </c>
      <c r="I114" s="22" t="s">
        <v>212</v>
      </c>
      <c r="J114" s="22" t="s">
        <v>427</v>
      </c>
      <c r="K114" s="22">
        <v>2010</v>
      </c>
      <c r="L114" s="145">
        <v>370</v>
      </c>
      <c r="M114" s="151">
        <v>0</v>
      </c>
      <c r="N114" s="151">
        <v>0</v>
      </c>
      <c r="O114" s="151">
        <f t="shared" si="3"/>
        <v>370</v>
      </c>
    </row>
    <row r="115" spans="1:15" s="80" customFormat="1" ht="15" customHeight="1">
      <c r="A115" s="806"/>
      <c r="B115" s="807"/>
      <c r="C115" s="790"/>
      <c r="D115" s="22">
        <v>1</v>
      </c>
      <c r="E115" s="247">
        <v>1</v>
      </c>
      <c r="F115" s="22"/>
      <c r="G115" s="22"/>
      <c r="H115" s="22">
        <v>1</v>
      </c>
      <c r="I115" s="22" t="s">
        <v>212</v>
      </c>
      <c r="J115" s="15" t="s">
        <v>343</v>
      </c>
      <c r="K115" s="22">
        <v>2009</v>
      </c>
      <c r="L115" s="145">
        <v>100</v>
      </c>
      <c r="M115" s="151">
        <v>0</v>
      </c>
      <c r="N115" s="151">
        <v>0</v>
      </c>
      <c r="O115" s="151">
        <f t="shared" si="3"/>
        <v>100</v>
      </c>
    </row>
    <row r="116" spans="1:15" s="80" customFormat="1" ht="15" customHeight="1">
      <c r="A116" s="806"/>
      <c r="B116" s="807"/>
      <c r="C116" s="790"/>
      <c r="D116" s="22">
        <v>1</v>
      </c>
      <c r="E116" s="247">
        <v>1</v>
      </c>
      <c r="F116" s="22"/>
      <c r="G116" s="22"/>
      <c r="H116" s="22">
        <v>1</v>
      </c>
      <c r="I116" s="22" t="s">
        <v>343</v>
      </c>
      <c r="J116" s="15" t="s">
        <v>343</v>
      </c>
      <c r="K116" s="22">
        <v>1995</v>
      </c>
      <c r="L116" s="145">
        <v>0</v>
      </c>
      <c r="M116" s="151">
        <v>700</v>
      </c>
      <c r="N116" s="151">
        <v>0</v>
      </c>
      <c r="O116" s="151">
        <f t="shared" si="3"/>
        <v>700</v>
      </c>
    </row>
    <row r="117" spans="1:15" s="80" customFormat="1" ht="15" customHeight="1">
      <c r="A117" s="806"/>
      <c r="B117" s="807"/>
      <c r="C117" s="790"/>
      <c r="D117" s="22">
        <v>1</v>
      </c>
      <c r="E117" s="22">
        <v>1</v>
      </c>
      <c r="F117" s="22"/>
      <c r="G117" s="22"/>
      <c r="H117" s="22">
        <v>1</v>
      </c>
      <c r="I117" s="22" t="s">
        <v>212</v>
      </c>
      <c r="J117" s="15" t="s">
        <v>20</v>
      </c>
      <c r="K117" s="22">
        <v>2011</v>
      </c>
      <c r="L117" s="145">
        <v>0</v>
      </c>
      <c r="M117" s="151">
        <v>500</v>
      </c>
      <c r="N117" s="151">
        <v>0</v>
      </c>
      <c r="O117" s="151">
        <f t="shared" si="3"/>
        <v>500</v>
      </c>
    </row>
    <row r="118" spans="1:15" s="80" customFormat="1" ht="15" customHeight="1">
      <c r="A118" s="806"/>
      <c r="B118" s="806"/>
      <c r="C118" s="808"/>
      <c r="D118" s="22">
        <v>1</v>
      </c>
      <c r="E118" s="22">
        <v>1</v>
      </c>
      <c r="F118" s="22"/>
      <c r="G118" s="22"/>
      <c r="H118" s="250">
        <v>1</v>
      </c>
      <c r="I118" s="22" t="s">
        <v>212</v>
      </c>
      <c r="J118" s="15" t="s">
        <v>20</v>
      </c>
      <c r="K118" s="22">
        <v>2008</v>
      </c>
      <c r="L118" s="145">
        <v>0</v>
      </c>
      <c r="M118" s="151">
        <v>200</v>
      </c>
      <c r="N118" s="151">
        <v>0</v>
      </c>
      <c r="O118" s="151">
        <f t="shared" si="3"/>
        <v>200</v>
      </c>
    </row>
    <row r="119" spans="1:15" s="80" customFormat="1" ht="15" customHeight="1">
      <c r="A119" s="806"/>
      <c r="B119" s="807"/>
      <c r="C119" s="790"/>
      <c r="D119" s="22">
        <v>1</v>
      </c>
      <c r="E119" s="22">
        <v>1</v>
      </c>
      <c r="F119" s="22"/>
      <c r="G119" s="22"/>
      <c r="H119" s="22">
        <v>1</v>
      </c>
      <c r="I119" s="22" t="s">
        <v>212</v>
      </c>
      <c r="J119" s="15" t="s">
        <v>20</v>
      </c>
      <c r="K119" s="22">
        <v>2010</v>
      </c>
      <c r="L119" s="145">
        <v>180</v>
      </c>
      <c r="M119" s="151">
        <v>0</v>
      </c>
      <c r="N119" s="151">
        <v>0</v>
      </c>
      <c r="O119" s="151">
        <f t="shared" si="3"/>
        <v>180</v>
      </c>
    </row>
    <row r="120" spans="1:15" s="80" customFormat="1" ht="15" customHeight="1">
      <c r="A120" s="806"/>
      <c r="B120" s="807"/>
      <c r="C120" s="790"/>
      <c r="D120" s="22">
        <v>1</v>
      </c>
      <c r="E120" s="22"/>
      <c r="F120" s="22">
        <v>1</v>
      </c>
      <c r="G120" s="22"/>
      <c r="H120" s="22">
        <v>1</v>
      </c>
      <c r="I120" s="22" t="s">
        <v>343</v>
      </c>
      <c r="J120" s="22" t="s">
        <v>343</v>
      </c>
      <c r="K120" s="22">
        <v>2002</v>
      </c>
      <c r="L120" s="145">
        <v>300</v>
      </c>
      <c r="M120" s="151">
        <v>0</v>
      </c>
      <c r="N120" s="151">
        <v>70</v>
      </c>
      <c r="O120" s="151">
        <f t="shared" si="3"/>
        <v>370</v>
      </c>
    </row>
    <row r="121" spans="1:15" s="80" customFormat="1" ht="15" customHeight="1">
      <c r="A121" s="807"/>
      <c r="B121" s="791"/>
      <c r="C121" s="790"/>
      <c r="D121" s="22">
        <v>1</v>
      </c>
      <c r="E121" s="247"/>
      <c r="F121" s="22">
        <v>1</v>
      </c>
      <c r="G121" s="22">
        <v>1</v>
      </c>
      <c r="H121" s="22"/>
      <c r="I121" s="22" t="s">
        <v>212</v>
      </c>
      <c r="J121" s="22" t="s">
        <v>212</v>
      </c>
      <c r="K121" s="22">
        <v>1995</v>
      </c>
      <c r="L121" s="145">
        <f>144+250</f>
        <v>394</v>
      </c>
      <c r="M121" s="151">
        <v>0</v>
      </c>
      <c r="N121" s="151">
        <v>0</v>
      </c>
      <c r="O121" s="151">
        <f aca="true" t="shared" si="4" ref="O121:O148">L121+M121+N121</f>
        <v>394</v>
      </c>
    </row>
    <row r="122" spans="1:15" s="80" customFormat="1" ht="15" customHeight="1">
      <c r="A122" s="807"/>
      <c r="B122" s="791"/>
      <c r="C122" s="790"/>
      <c r="D122" s="22">
        <v>1</v>
      </c>
      <c r="E122" s="247">
        <v>1</v>
      </c>
      <c r="F122" s="22"/>
      <c r="G122" s="22"/>
      <c r="H122" s="22">
        <v>1</v>
      </c>
      <c r="I122" s="22" t="s">
        <v>212</v>
      </c>
      <c r="J122" s="15" t="s">
        <v>16</v>
      </c>
      <c r="K122" s="22">
        <v>2010</v>
      </c>
      <c r="L122" s="145">
        <v>400</v>
      </c>
      <c r="M122" s="151">
        <v>0</v>
      </c>
      <c r="N122" s="151">
        <v>0</v>
      </c>
      <c r="O122" s="151">
        <f t="shared" si="4"/>
        <v>400</v>
      </c>
    </row>
    <row r="123" spans="1:15" s="80" customFormat="1" ht="15" customHeight="1">
      <c r="A123" s="807"/>
      <c r="B123" s="816"/>
      <c r="C123" s="790"/>
      <c r="D123" s="22">
        <v>1</v>
      </c>
      <c r="E123" s="22"/>
      <c r="F123" s="22">
        <v>1</v>
      </c>
      <c r="G123" s="22"/>
      <c r="H123" s="22">
        <v>1</v>
      </c>
      <c r="I123" s="22" t="s">
        <v>212</v>
      </c>
      <c r="J123" s="15" t="s">
        <v>342</v>
      </c>
      <c r="K123" s="22">
        <v>1997</v>
      </c>
      <c r="L123" s="145">
        <v>0</v>
      </c>
      <c r="M123" s="151">
        <v>500</v>
      </c>
      <c r="N123" s="151">
        <v>0</v>
      </c>
      <c r="O123" s="151">
        <f t="shared" si="4"/>
        <v>500</v>
      </c>
    </row>
    <row r="124" spans="1:15" s="80" customFormat="1" ht="15" customHeight="1">
      <c r="A124" s="807"/>
      <c r="B124" s="816"/>
      <c r="C124" s="790"/>
      <c r="D124" s="22">
        <v>1</v>
      </c>
      <c r="E124" s="22">
        <v>1</v>
      </c>
      <c r="F124" s="22"/>
      <c r="G124" s="22"/>
      <c r="H124" s="22">
        <v>1</v>
      </c>
      <c r="I124" s="22" t="s">
        <v>212</v>
      </c>
      <c r="J124" s="15" t="s">
        <v>342</v>
      </c>
      <c r="K124" s="22">
        <v>2002</v>
      </c>
      <c r="L124" s="145">
        <v>0</v>
      </c>
      <c r="M124" s="151">
        <v>0</v>
      </c>
      <c r="N124" s="151">
        <v>70</v>
      </c>
      <c r="O124" s="151">
        <f t="shared" si="4"/>
        <v>70</v>
      </c>
    </row>
    <row r="125" spans="1:15" s="80" customFormat="1" ht="15" customHeight="1">
      <c r="A125" s="807"/>
      <c r="B125" s="816"/>
      <c r="C125" s="790"/>
      <c r="D125" s="22">
        <v>1</v>
      </c>
      <c r="E125" s="22">
        <v>1</v>
      </c>
      <c r="F125" s="22"/>
      <c r="G125" s="22">
        <v>1</v>
      </c>
      <c r="H125" s="22"/>
      <c r="I125" s="22" t="s">
        <v>212</v>
      </c>
      <c r="J125" s="15" t="s">
        <v>212</v>
      </c>
      <c r="K125" s="22">
        <v>1994</v>
      </c>
      <c r="L125" s="145">
        <v>500</v>
      </c>
      <c r="M125" s="151">
        <v>0</v>
      </c>
      <c r="N125" s="151">
        <v>0</v>
      </c>
      <c r="O125" s="151">
        <f t="shared" si="4"/>
        <v>500</v>
      </c>
    </row>
    <row r="126" spans="1:15" s="80" customFormat="1" ht="15" customHeight="1">
      <c r="A126" s="807"/>
      <c r="B126" s="816"/>
      <c r="C126" s="790"/>
      <c r="D126" s="22">
        <v>1</v>
      </c>
      <c r="E126" s="22"/>
      <c r="F126" s="22">
        <v>1</v>
      </c>
      <c r="G126" s="22">
        <v>1</v>
      </c>
      <c r="H126" s="22"/>
      <c r="I126" s="22" t="s">
        <v>212</v>
      </c>
      <c r="J126" s="15" t="s">
        <v>212</v>
      </c>
      <c r="K126" s="22">
        <v>2009</v>
      </c>
      <c r="L126" s="145">
        <v>500</v>
      </c>
      <c r="M126" s="151">
        <v>0</v>
      </c>
      <c r="N126" s="151">
        <v>0</v>
      </c>
      <c r="O126" s="151">
        <f t="shared" si="4"/>
        <v>500</v>
      </c>
    </row>
    <row r="127" spans="1:15" s="80" customFormat="1" ht="15" customHeight="1">
      <c r="A127" s="791"/>
      <c r="B127" s="817"/>
      <c r="C127" s="790"/>
      <c r="D127" s="22">
        <v>1</v>
      </c>
      <c r="E127" s="22"/>
      <c r="F127" s="22">
        <v>1</v>
      </c>
      <c r="G127" s="22">
        <v>1</v>
      </c>
      <c r="H127" s="22"/>
      <c r="I127" s="22" t="s">
        <v>212</v>
      </c>
      <c r="J127" s="15" t="s">
        <v>110</v>
      </c>
      <c r="K127" s="22">
        <v>2007</v>
      </c>
      <c r="L127" s="145">
        <v>0</v>
      </c>
      <c r="M127" s="151">
        <v>2320</v>
      </c>
      <c r="N127" s="151">
        <v>0</v>
      </c>
      <c r="O127" s="151">
        <f t="shared" si="4"/>
        <v>2320</v>
      </c>
    </row>
    <row r="128" spans="1:15" s="80" customFormat="1" ht="15" customHeight="1">
      <c r="A128" s="806"/>
      <c r="B128" s="806"/>
      <c r="C128" s="790"/>
      <c r="D128" s="22">
        <v>1</v>
      </c>
      <c r="E128" s="22"/>
      <c r="F128" s="22">
        <v>1</v>
      </c>
      <c r="G128" s="22"/>
      <c r="H128" s="22">
        <v>1</v>
      </c>
      <c r="I128" s="22" t="s">
        <v>343</v>
      </c>
      <c r="J128" s="15" t="s">
        <v>343</v>
      </c>
      <c r="K128" s="22">
        <v>1997</v>
      </c>
      <c r="L128" s="145">
        <v>300</v>
      </c>
      <c r="M128" s="151">
        <v>0</v>
      </c>
      <c r="N128" s="151">
        <v>0</v>
      </c>
      <c r="O128" s="151">
        <f t="shared" si="4"/>
        <v>300</v>
      </c>
    </row>
    <row r="129" spans="1:15" s="80" customFormat="1" ht="15" customHeight="1">
      <c r="A129" s="803"/>
      <c r="B129" s="807"/>
      <c r="C129" s="790"/>
      <c r="D129" s="22">
        <v>1</v>
      </c>
      <c r="E129" s="22"/>
      <c r="F129" s="22">
        <v>1</v>
      </c>
      <c r="G129" s="22"/>
      <c r="H129" s="22">
        <v>1</v>
      </c>
      <c r="I129" s="22" t="s">
        <v>212</v>
      </c>
      <c r="J129" s="22" t="s">
        <v>18</v>
      </c>
      <c r="K129" s="22">
        <v>2007</v>
      </c>
      <c r="L129" s="145">
        <v>250</v>
      </c>
      <c r="M129" s="151">
        <v>0</v>
      </c>
      <c r="N129" s="151">
        <v>200</v>
      </c>
      <c r="O129" s="151">
        <f t="shared" si="4"/>
        <v>450</v>
      </c>
    </row>
    <row r="130" spans="1:15" s="80" customFormat="1" ht="15" customHeight="1">
      <c r="A130" s="806"/>
      <c r="B130" s="807"/>
      <c r="C130" s="790"/>
      <c r="D130" s="22">
        <v>1</v>
      </c>
      <c r="E130" s="22"/>
      <c r="F130" s="22">
        <v>1</v>
      </c>
      <c r="G130" s="22">
        <v>1</v>
      </c>
      <c r="H130" s="22"/>
      <c r="I130" s="22" t="s">
        <v>212</v>
      </c>
      <c r="J130" s="15" t="s">
        <v>212</v>
      </c>
      <c r="K130" s="22">
        <v>2006</v>
      </c>
      <c r="L130" s="145">
        <v>198</v>
      </c>
      <c r="M130" s="151">
        <v>450</v>
      </c>
      <c r="N130" s="151">
        <v>0</v>
      </c>
      <c r="O130" s="151">
        <f t="shared" si="4"/>
        <v>648</v>
      </c>
    </row>
    <row r="131" spans="1:15" s="80" customFormat="1" ht="15" customHeight="1">
      <c r="A131" s="806"/>
      <c r="B131" s="807"/>
      <c r="C131" s="790"/>
      <c r="D131" s="22">
        <v>1</v>
      </c>
      <c r="E131" s="22">
        <v>1</v>
      </c>
      <c r="F131" s="22"/>
      <c r="G131" s="22"/>
      <c r="H131" s="22">
        <v>1</v>
      </c>
      <c r="I131" s="22" t="s">
        <v>212</v>
      </c>
      <c r="J131" s="15" t="s">
        <v>327</v>
      </c>
      <c r="K131" s="22">
        <v>2009</v>
      </c>
      <c r="L131" s="145">
        <v>0</v>
      </c>
      <c r="M131" s="151">
        <v>0</v>
      </c>
      <c r="N131" s="151">
        <v>145</v>
      </c>
      <c r="O131" s="151">
        <f t="shared" si="4"/>
        <v>145</v>
      </c>
    </row>
    <row r="132" spans="1:15" s="80" customFormat="1" ht="15" customHeight="1">
      <c r="A132" s="806"/>
      <c r="B132" s="807"/>
      <c r="C132" s="790"/>
      <c r="D132" s="22">
        <v>1</v>
      </c>
      <c r="E132" s="22">
        <v>1</v>
      </c>
      <c r="F132" s="22"/>
      <c r="G132" s="22"/>
      <c r="H132" s="22">
        <v>1</v>
      </c>
      <c r="I132" s="22" t="s">
        <v>327</v>
      </c>
      <c r="J132" s="15" t="s">
        <v>327</v>
      </c>
      <c r="K132" s="22">
        <v>2006</v>
      </c>
      <c r="L132" s="145">
        <v>150</v>
      </c>
      <c r="M132" s="151">
        <v>0</v>
      </c>
      <c r="N132" s="151">
        <v>0</v>
      </c>
      <c r="O132" s="151">
        <f t="shared" si="4"/>
        <v>150</v>
      </c>
    </row>
    <row r="133" spans="1:15" s="80" customFormat="1" ht="15" customHeight="1">
      <c r="A133" s="806"/>
      <c r="B133" s="807"/>
      <c r="C133" s="808"/>
      <c r="D133" s="22">
        <v>1</v>
      </c>
      <c r="E133" s="22"/>
      <c r="F133" s="22">
        <v>1</v>
      </c>
      <c r="G133" s="22"/>
      <c r="H133" s="250">
        <v>1</v>
      </c>
      <c r="I133" s="33" t="s">
        <v>212</v>
      </c>
      <c r="J133" s="15" t="s">
        <v>495</v>
      </c>
      <c r="K133" s="22">
        <v>2005</v>
      </c>
      <c r="L133" s="145">
        <v>150</v>
      </c>
      <c r="M133" s="151">
        <v>0</v>
      </c>
      <c r="N133" s="151">
        <v>0</v>
      </c>
      <c r="O133" s="151">
        <f t="shared" si="4"/>
        <v>150</v>
      </c>
    </row>
    <row r="134" spans="1:15" s="80" customFormat="1" ht="15" customHeight="1">
      <c r="A134" s="803"/>
      <c r="B134" s="804"/>
      <c r="C134" s="818"/>
      <c r="D134" s="22">
        <v>1</v>
      </c>
      <c r="E134" s="247"/>
      <c r="F134" s="22">
        <v>1</v>
      </c>
      <c r="G134" s="22"/>
      <c r="H134" s="22">
        <v>1</v>
      </c>
      <c r="I134" s="22" t="s">
        <v>212</v>
      </c>
      <c r="J134" s="15" t="s">
        <v>489</v>
      </c>
      <c r="K134" s="22">
        <v>2009</v>
      </c>
      <c r="L134" s="145">
        <v>300</v>
      </c>
      <c r="M134" s="151">
        <v>0</v>
      </c>
      <c r="N134" s="151">
        <v>0</v>
      </c>
      <c r="O134" s="151">
        <f t="shared" si="4"/>
        <v>300</v>
      </c>
    </row>
    <row r="135" spans="1:15" s="80" customFormat="1" ht="15" customHeight="1">
      <c r="A135" s="806"/>
      <c r="B135" s="807"/>
      <c r="C135" s="790"/>
      <c r="D135" s="22">
        <v>1</v>
      </c>
      <c r="E135" s="247">
        <v>1</v>
      </c>
      <c r="F135" s="22"/>
      <c r="G135" s="22">
        <v>1</v>
      </c>
      <c r="H135" s="22"/>
      <c r="I135" s="22" t="s">
        <v>212</v>
      </c>
      <c r="J135" s="15" t="s">
        <v>212</v>
      </c>
      <c r="K135" s="22">
        <v>1999</v>
      </c>
      <c r="L135" s="145">
        <v>0</v>
      </c>
      <c r="M135" s="151">
        <v>0</v>
      </c>
      <c r="N135" s="151">
        <v>141</v>
      </c>
      <c r="O135" s="151">
        <f t="shared" si="4"/>
        <v>141</v>
      </c>
    </row>
    <row r="136" spans="1:15" s="80" customFormat="1" ht="15" customHeight="1">
      <c r="A136" s="806"/>
      <c r="B136" s="807"/>
      <c r="C136" s="790"/>
      <c r="D136" s="22">
        <v>1</v>
      </c>
      <c r="E136" s="247">
        <v>1</v>
      </c>
      <c r="F136" s="22"/>
      <c r="G136" s="22"/>
      <c r="H136" s="22">
        <v>1</v>
      </c>
      <c r="I136" s="22" t="s">
        <v>343</v>
      </c>
      <c r="J136" s="15" t="s">
        <v>343</v>
      </c>
      <c r="K136" s="22">
        <v>1998</v>
      </c>
      <c r="L136" s="145">
        <v>920</v>
      </c>
      <c r="M136" s="151">
        <v>0</v>
      </c>
      <c r="N136" s="151">
        <v>300</v>
      </c>
      <c r="O136" s="151">
        <f t="shared" si="4"/>
        <v>1220</v>
      </c>
    </row>
    <row r="137" spans="1:15" s="80" customFormat="1" ht="15" customHeight="1">
      <c r="A137" s="806"/>
      <c r="B137" s="806"/>
      <c r="C137" s="808"/>
      <c r="D137" s="22">
        <v>1</v>
      </c>
      <c r="E137" s="22"/>
      <c r="F137" s="22">
        <v>1</v>
      </c>
      <c r="G137" s="22"/>
      <c r="H137" s="33">
        <v>1</v>
      </c>
      <c r="I137" s="22" t="s">
        <v>343</v>
      </c>
      <c r="J137" s="15" t="s">
        <v>343</v>
      </c>
      <c r="K137" s="22">
        <v>2001</v>
      </c>
      <c r="L137" s="145">
        <v>130</v>
      </c>
      <c r="M137" s="151">
        <v>540</v>
      </c>
      <c r="N137" s="151">
        <v>0</v>
      </c>
      <c r="O137" s="151">
        <f t="shared" si="4"/>
        <v>670</v>
      </c>
    </row>
    <row r="138" spans="1:15" s="80" customFormat="1" ht="15" customHeight="1">
      <c r="A138" s="806"/>
      <c r="B138" s="807"/>
      <c r="C138" s="790"/>
      <c r="D138" s="22">
        <v>1</v>
      </c>
      <c r="E138" s="247"/>
      <c r="F138" s="22">
        <v>1</v>
      </c>
      <c r="G138" s="22"/>
      <c r="H138" s="77">
        <v>1</v>
      </c>
      <c r="I138" s="22" t="s">
        <v>343</v>
      </c>
      <c r="J138" s="15" t="s">
        <v>343</v>
      </c>
      <c r="K138" s="22">
        <v>1994</v>
      </c>
      <c r="L138" s="145">
        <v>100</v>
      </c>
      <c r="M138" s="151">
        <v>0</v>
      </c>
      <c r="N138" s="151">
        <v>0</v>
      </c>
      <c r="O138" s="151">
        <f t="shared" si="4"/>
        <v>100</v>
      </c>
    </row>
    <row r="139" spans="1:15" s="80" customFormat="1" ht="15" customHeight="1">
      <c r="A139" s="806"/>
      <c r="B139" s="807"/>
      <c r="C139" s="790"/>
      <c r="D139" s="22">
        <v>1</v>
      </c>
      <c r="E139" s="22"/>
      <c r="F139" s="22">
        <v>1</v>
      </c>
      <c r="G139" s="22"/>
      <c r="H139" s="250">
        <v>1</v>
      </c>
      <c r="I139" s="22" t="s">
        <v>212</v>
      </c>
      <c r="J139" s="15" t="s">
        <v>17</v>
      </c>
      <c r="K139" s="22">
        <v>2011</v>
      </c>
      <c r="L139" s="145">
        <v>170</v>
      </c>
      <c r="M139" s="151">
        <v>0</v>
      </c>
      <c r="N139" s="151">
        <v>0</v>
      </c>
      <c r="O139" s="151">
        <f t="shared" si="4"/>
        <v>170</v>
      </c>
    </row>
    <row r="140" spans="1:15" s="80" customFormat="1" ht="15" customHeight="1">
      <c r="A140" s="806"/>
      <c r="B140" s="807"/>
      <c r="C140" s="814"/>
      <c r="D140" s="22">
        <v>1</v>
      </c>
      <c r="E140" s="22">
        <v>1</v>
      </c>
      <c r="F140" s="22"/>
      <c r="G140" s="22">
        <v>1</v>
      </c>
      <c r="H140" s="22"/>
      <c r="I140" s="22" t="s">
        <v>212</v>
      </c>
      <c r="J140" s="15" t="s">
        <v>135</v>
      </c>
      <c r="K140" s="22">
        <v>2007</v>
      </c>
      <c r="L140" s="145">
        <v>100</v>
      </c>
      <c r="M140" s="151">
        <v>170</v>
      </c>
      <c r="N140" s="151">
        <v>0</v>
      </c>
      <c r="O140" s="151">
        <f t="shared" si="4"/>
        <v>270</v>
      </c>
    </row>
    <row r="141" spans="1:15" s="80" customFormat="1" ht="15" customHeight="1">
      <c r="A141" s="806"/>
      <c r="B141" s="806"/>
      <c r="C141" s="808"/>
      <c r="D141" s="22">
        <v>1</v>
      </c>
      <c r="E141" s="22"/>
      <c r="F141" s="22">
        <v>1</v>
      </c>
      <c r="G141" s="22">
        <v>1</v>
      </c>
      <c r="H141" s="250"/>
      <c r="I141" s="22" t="s">
        <v>212</v>
      </c>
      <c r="J141" s="15" t="s">
        <v>212</v>
      </c>
      <c r="K141" s="22">
        <v>2009</v>
      </c>
      <c r="L141" s="145">
        <v>150</v>
      </c>
      <c r="M141" s="151">
        <v>600</v>
      </c>
      <c r="N141" s="151">
        <v>0</v>
      </c>
      <c r="O141" s="151">
        <f t="shared" si="4"/>
        <v>750</v>
      </c>
    </row>
    <row r="142" spans="1:15" s="80" customFormat="1" ht="15" customHeight="1">
      <c r="A142" s="806"/>
      <c r="B142" s="807"/>
      <c r="C142" s="790"/>
      <c r="D142" s="22">
        <v>1</v>
      </c>
      <c r="E142" s="247">
        <v>1</v>
      </c>
      <c r="F142" s="22"/>
      <c r="G142" s="22">
        <v>1</v>
      </c>
      <c r="H142" s="22"/>
      <c r="I142" s="22" t="s">
        <v>212</v>
      </c>
      <c r="J142" s="15" t="s">
        <v>212</v>
      </c>
      <c r="K142" s="22">
        <v>2002</v>
      </c>
      <c r="L142" s="145">
        <v>550</v>
      </c>
      <c r="M142" s="151">
        <v>600</v>
      </c>
      <c r="N142" s="151">
        <v>0</v>
      </c>
      <c r="O142" s="151">
        <f t="shared" si="4"/>
        <v>1150</v>
      </c>
    </row>
    <row r="143" spans="1:15" s="80" customFormat="1" ht="15" customHeight="1">
      <c r="A143" s="806"/>
      <c r="B143" s="807"/>
      <c r="C143" s="790"/>
      <c r="D143" s="22">
        <v>1</v>
      </c>
      <c r="E143" s="22">
        <v>1</v>
      </c>
      <c r="F143" s="22"/>
      <c r="G143" s="22">
        <v>1</v>
      </c>
      <c r="H143" s="250"/>
      <c r="I143" s="15" t="s">
        <v>212</v>
      </c>
      <c r="J143" s="15" t="s">
        <v>212</v>
      </c>
      <c r="K143" s="22">
        <v>2006</v>
      </c>
      <c r="L143" s="145">
        <v>0</v>
      </c>
      <c r="M143" s="151">
        <v>780</v>
      </c>
      <c r="N143" s="151">
        <v>0</v>
      </c>
      <c r="O143" s="151">
        <f t="shared" si="4"/>
        <v>780</v>
      </c>
    </row>
    <row r="144" spans="1:15" s="80" customFormat="1" ht="15" customHeight="1">
      <c r="A144" s="806"/>
      <c r="B144" s="807"/>
      <c r="C144" s="790"/>
      <c r="D144" s="22">
        <v>1</v>
      </c>
      <c r="E144" s="247">
        <v>1</v>
      </c>
      <c r="F144" s="22"/>
      <c r="G144" s="22"/>
      <c r="H144" s="22">
        <v>1</v>
      </c>
      <c r="I144" s="22" t="s">
        <v>212</v>
      </c>
      <c r="J144" s="22" t="s">
        <v>18</v>
      </c>
      <c r="K144" s="22">
        <v>1999</v>
      </c>
      <c r="L144" s="145">
        <v>240</v>
      </c>
      <c r="M144" s="151">
        <v>0</v>
      </c>
      <c r="N144" s="151">
        <v>0</v>
      </c>
      <c r="O144" s="151">
        <f t="shared" si="4"/>
        <v>240</v>
      </c>
    </row>
    <row r="145" spans="1:15" s="80" customFormat="1" ht="15" customHeight="1">
      <c r="A145" s="806"/>
      <c r="B145" s="807"/>
      <c r="C145" s="790"/>
      <c r="D145" s="22">
        <v>1</v>
      </c>
      <c r="E145" s="247">
        <v>1</v>
      </c>
      <c r="F145" s="22"/>
      <c r="G145" s="22"/>
      <c r="H145" s="22">
        <v>1</v>
      </c>
      <c r="I145" s="22" t="s">
        <v>212</v>
      </c>
      <c r="J145" s="15" t="s">
        <v>343</v>
      </c>
      <c r="K145" s="22">
        <v>2005</v>
      </c>
      <c r="L145" s="145">
        <v>400</v>
      </c>
      <c r="M145" s="151">
        <v>350</v>
      </c>
      <c r="N145" s="151">
        <v>0</v>
      </c>
      <c r="O145" s="151">
        <f t="shared" si="4"/>
        <v>750</v>
      </c>
    </row>
    <row r="146" spans="1:15" s="80" customFormat="1" ht="15" customHeight="1">
      <c r="A146" s="806"/>
      <c r="B146" s="807"/>
      <c r="C146" s="790"/>
      <c r="D146" s="22">
        <v>1</v>
      </c>
      <c r="E146" s="247"/>
      <c r="F146" s="22">
        <v>1</v>
      </c>
      <c r="G146" s="22"/>
      <c r="H146" s="22">
        <v>1</v>
      </c>
      <c r="I146" s="22" t="s">
        <v>212</v>
      </c>
      <c r="J146" s="22" t="s">
        <v>343</v>
      </c>
      <c r="K146" s="22">
        <v>2011</v>
      </c>
      <c r="L146" s="145">
        <v>180</v>
      </c>
      <c r="M146" s="151">
        <v>0</v>
      </c>
      <c r="N146" s="151">
        <v>0</v>
      </c>
      <c r="O146" s="151">
        <f t="shared" si="4"/>
        <v>180</v>
      </c>
    </row>
    <row r="147" spans="1:15" s="80" customFormat="1" ht="15" customHeight="1">
      <c r="A147" s="1069" t="s">
        <v>128</v>
      </c>
      <c r="B147" s="1070"/>
      <c r="C147" s="218"/>
      <c r="D147" s="22"/>
      <c r="E147" s="22"/>
      <c r="F147" s="22"/>
      <c r="G147" s="22"/>
      <c r="H147" s="250"/>
      <c r="I147" s="33"/>
      <c r="J147" s="15"/>
      <c r="K147" s="22"/>
      <c r="L147" s="145">
        <v>0</v>
      </c>
      <c r="M147" s="151">
        <v>0</v>
      </c>
      <c r="N147" s="151">
        <v>1508</v>
      </c>
      <c r="O147" s="151">
        <f t="shared" si="4"/>
        <v>1508</v>
      </c>
    </row>
    <row r="148" spans="1:15" s="80" customFormat="1" ht="30" customHeight="1">
      <c r="A148" s="1071" t="s">
        <v>280</v>
      </c>
      <c r="B148" s="1072"/>
      <c r="C148" s="218"/>
      <c r="D148" s="22"/>
      <c r="E148" s="22"/>
      <c r="F148" s="22"/>
      <c r="G148" s="22"/>
      <c r="H148" s="250"/>
      <c r="I148" s="33"/>
      <c r="J148" s="15"/>
      <c r="K148" s="22"/>
      <c r="L148" s="145">
        <v>0</v>
      </c>
      <c r="M148" s="151">
        <v>0</v>
      </c>
      <c r="N148" s="151">
        <f>11452+1193</f>
        <v>12645</v>
      </c>
      <c r="O148" s="151">
        <f t="shared" si="4"/>
        <v>12645</v>
      </c>
    </row>
    <row r="149" spans="1:15" s="161" customFormat="1" ht="15" customHeight="1">
      <c r="A149" s="1066" t="s">
        <v>8</v>
      </c>
      <c r="B149" s="1067"/>
      <c r="C149" s="159"/>
      <c r="D149" s="120">
        <f>SUM(D25:D148)</f>
        <v>122</v>
      </c>
      <c r="E149" s="120">
        <f>SUM(E25:E148)</f>
        <v>61</v>
      </c>
      <c r="F149" s="120">
        <f>SUM(F25:F148)</f>
        <v>61</v>
      </c>
      <c r="G149" s="120">
        <f>SUM(G25:G148)</f>
        <v>40</v>
      </c>
      <c r="H149" s="120">
        <f>SUM(H25:H148)</f>
        <v>82</v>
      </c>
      <c r="I149" s="85"/>
      <c r="J149" s="257"/>
      <c r="K149" s="120"/>
      <c r="L149" s="149">
        <f>SUM(L25:L148)</f>
        <v>32402.870000000003</v>
      </c>
      <c r="M149" s="149">
        <f>SUM(M25:M148)</f>
        <v>36423.5</v>
      </c>
      <c r="N149" s="149">
        <f>SUM(N25:N148)</f>
        <v>22827</v>
      </c>
      <c r="O149" s="149">
        <f>SUM(O25:O148)</f>
        <v>91653.37</v>
      </c>
    </row>
    <row r="150" spans="1:15" s="404" customFormat="1" ht="15" customHeight="1">
      <c r="A150" s="1064" t="s">
        <v>67</v>
      </c>
      <c r="B150" s="1068"/>
      <c r="C150" s="354"/>
      <c r="D150" s="19"/>
      <c r="E150" s="19"/>
      <c r="F150" s="19"/>
      <c r="G150" s="19"/>
      <c r="H150" s="251"/>
      <c r="I150" s="57"/>
      <c r="J150" s="72"/>
      <c r="K150" s="19"/>
      <c r="L150" s="160"/>
      <c r="M150" s="164"/>
      <c r="N150" s="164"/>
      <c r="O150" s="153"/>
    </row>
    <row r="151" spans="1:15" s="50" customFormat="1" ht="48" customHeight="1">
      <c r="A151" s="39" t="s">
        <v>332</v>
      </c>
      <c r="B151" s="39" t="s">
        <v>333</v>
      </c>
      <c r="C151" s="39" t="s">
        <v>213</v>
      </c>
      <c r="D151" s="115" t="s">
        <v>36</v>
      </c>
      <c r="E151" s="115" t="s">
        <v>73</v>
      </c>
      <c r="F151" s="115" t="s">
        <v>74</v>
      </c>
      <c r="G151" s="115" t="s">
        <v>37</v>
      </c>
      <c r="H151" s="268" t="s">
        <v>38</v>
      </c>
      <c r="I151" s="39" t="s">
        <v>15</v>
      </c>
      <c r="J151" s="115" t="s">
        <v>214</v>
      </c>
      <c r="K151" s="115" t="s">
        <v>39</v>
      </c>
      <c r="L151" s="130" t="s">
        <v>63</v>
      </c>
      <c r="M151" s="130" t="s">
        <v>149</v>
      </c>
      <c r="N151" s="130" t="s">
        <v>167</v>
      </c>
      <c r="O151" s="130" t="s">
        <v>58</v>
      </c>
    </row>
    <row r="152" spans="1:15" s="80" customFormat="1" ht="15" customHeight="1">
      <c r="A152" s="806"/>
      <c r="B152" s="806"/>
      <c r="C152" s="808"/>
      <c r="D152" s="22">
        <v>1</v>
      </c>
      <c r="E152" s="22"/>
      <c r="F152" s="22">
        <v>1</v>
      </c>
      <c r="G152" s="22"/>
      <c r="H152" s="250">
        <v>1</v>
      </c>
      <c r="I152" s="34" t="s">
        <v>212</v>
      </c>
      <c r="J152" s="15" t="s">
        <v>18</v>
      </c>
      <c r="K152" s="22">
        <v>2009</v>
      </c>
      <c r="L152" s="145">
        <v>150</v>
      </c>
      <c r="M152" s="151">
        <v>0</v>
      </c>
      <c r="N152" s="151">
        <v>0</v>
      </c>
      <c r="O152" s="145">
        <f aca="true" t="shared" si="5" ref="O152:O162">L152+M152+N152</f>
        <v>150</v>
      </c>
    </row>
    <row r="153" spans="1:15" s="80" customFormat="1" ht="15" customHeight="1">
      <c r="A153" s="809"/>
      <c r="B153" s="809"/>
      <c r="C153" s="813"/>
      <c r="D153" s="22">
        <v>1</v>
      </c>
      <c r="E153" s="28">
        <v>1</v>
      </c>
      <c r="F153" s="22"/>
      <c r="G153" s="22"/>
      <c r="H153" s="250">
        <v>1</v>
      </c>
      <c r="I153" s="22" t="s">
        <v>212</v>
      </c>
      <c r="J153" s="69" t="s">
        <v>18</v>
      </c>
      <c r="K153" s="22">
        <v>2002</v>
      </c>
      <c r="L153" s="145">
        <v>0</v>
      </c>
      <c r="M153" s="151">
        <v>0</v>
      </c>
      <c r="N153" s="151">
        <v>200</v>
      </c>
      <c r="O153" s="145">
        <f t="shared" si="5"/>
        <v>200</v>
      </c>
    </row>
    <row r="154" spans="1:15" s="80" customFormat="1" ht="15" customHeight="1">
      <c r="A154" s="806"/>
      <c r="B154" s="806"/>
      <c r="C154" s="808"/>
      <c r="D154" s="22">
        <v>1</v>
      </c>
      <c r="E154" s="22"/>
      <c r="F154" s="22">
        <v>1</v>
      </c>
      <c r="G154" s="22"/>
      <c r="H154" s="250">
        <v>1</v>
      </c>
      <c r="I154" s="32" t="s">
        <v>212</v>
      </c>
      <c r="J154" s="15" t="s">
        <v>18</v>
      </c>
      <c r="K154" s="22">
        <v>2007</v>
      </c>
      <c r="L154" s="145">
        <v>155.42</v>
      </c>
      <c r="M154" s="151">
        <v>0</v>
      </c>
      <c r="N154" s="151">
        <v>0</v>
      </c>
      <c r="O154" s="145">
        <f t="shared" si="5"/>
        <v>155.42</v>
      </c>
    </row>
    <row r="155" spans="1:15" s="80" customFormat="1" ht="15" customHeight="1">
      <c r="A155" s="806"/>
      <c r="B155" s="806"/>
      <c r="C155" s="808"/>
      <c r="D155" s="22">
        <v>1</v>
      </c>
      <c r="E155" s="22">
        <v>1</v>
      </c>
      <c r="F155" s="22"/>
      <c r="G155" s="22">
        <v>1</v>
      </c>
      <c r="H155" s="250"/>
      <c r="I155" s="32" t="s">
        <v>212</v>
      </c>
      <c r="J155" s="15" t="s">
        <v>212</v>
      </c>
      <c r="K155" s="22">
        <v>1999</v>
      </c>
      <c r="L155" s="145">
        <v>177</v>
      </c>
      <c r="M155" s="151">
        <v>0</v>
      </c>
      <c r="N155" s="151">
        <v>0</v>
      </c>
      <c r="O155" s="145">
        <f t="shared" si="5"/>
        <v>177</v>
      </c>
    </row>
    <row r="156" spans="1:15" s="80" customFormat="1" ht="15" customHeight="1">
      <c r="A156" s="806"/>
      <c r="B156" s="806"/>
      <c r="C156" s="808"/>
      <c r="D156" s="22">
        <v>1</v>
      </c>
      <c r="E156" s="22">
        <v>1</v>
      </c>
      <c r="F156" s="22"/>
      <c r="G156" s="22"/>
      <c r="H156" s="250">
        <v>1</v>
      </c>
      <c r="I156" s="33" t="s">
        <v>212</v>
      </c>
      <c r="J156" s="15" t="s">
        <v>18</v>
      </c>
      <c r="K156" s="22">
        <v>2010</v>
      </c>
      <c r="L156" s="145">
        <v>274</v>
      </c>
      <c r="M156" s="151">
        <v>1200</v>
      </c>
      <c r="N156" s="151">
        <v>0</v>
      </c>
      <c r="O156" s="145">
        <f t="shared" si="5"/>
        <v>1474</v>
      </c>
    </row>
    <row r="157" spans="1:15" s="80" customFormat="1" ht="15" customHeight="1">
      <c r="A157" s="806"/>
      <c r="B157" s="806"/>
      <c r="C157" s="808"/>
      <c r="D157" s="22">
        <v>1</v>
      </c>
      <c r="E157" s="22">
        <v>1</v>
      </c>
      <c r="F157" s="22"/>
      <c r="G157" s="22"/>
      <c r="H157" s="250">
        <v>1</v>
      </c>
      <c r="I157" s="33" t="s">
        <v>212</v>
      </c>
      <c r="J157" s="15" t="s">
        <v>427</v>
      </c>
      <c r="K157" s="22">
        <v>2009</v>
      </c>
      <c r="L157" s="145">
        <v>100</v>
      </c>
      <c r="M157" s="151">
        <v>0</v>
      </c>
      <c r="N157" s="151">
        <v>0</v>
      </c>
      <c r="O157" s="145">
        <f t="shared" si="5"/>
        <v>100</v>
      </c>
    </row>
    <row r="158" spans="1:15" s="80" customFormat="1" ht="15" customHeight="1">
      <c r="A158" s="806"/>
      <c r="B158" s="806"/>
      <c r="C158" s="808"/>
      <c r="D158" s="22">
        <v>1</v>
      </c>
      <c r="E158" s="22">
        <v>1</v>
      </c>
      <c r="F158" s="22"/>
      <c r="G158" s="22"/>
      <c r="H158" s="250">
        <v>1</v>
      </c>
      <c r="I158" s="33" t="s">
        <v>212</v>
      </c>
      <c r="J158" s="15" t="s">
        <v>18</v>
      </c>
      <c r="K158" s="22">
        <v>2009</v>
      </c>
      <c r="L158" s="145">
        <v>100</v>
      </c>
      <c r="M158" s="151">
        <v>0</v>
      </c>
      <c r="N158" s="151">
        <v>0</v>
      </c>
      <c r="O158" s="145">
        <f t="shared" si="5"/>
        <v>100</v>
      </c>
    </row>
    <row r="159" spans="1:15" s="80" customFormat="1" ht="15" customHeight="1">
      <c r="A159" s="806"/>
      <c r="B159" s="806"/>
      <c r="C159" s="808"/>
      <c r="D159" s="22">
        <v>1</v>
      </c>
      <c r="E159" s="22">
        <v>1</v>
      </c>
      <c r="F159" s="22"/>
      <c r="G159" s="22"/>
      <c r="H159" s="250">
        <v>1</v>
      </c>
      <c r="I159" s="33" t="s">
        <v>212</v>
      </c>
      <c r="J159" s="15" t="s">
        <v>18</v>
      </c>
      <c r="K159" s="22">
        <v>2009</v>
      </c>
      <c r="L159" s="145">
        <v>153.23</v>
      </c>
      <c r="M159" s="151">
        <v>0</v>
      </c>
      <c r="N159" s="151">
        <v>0</v>
      </c>
      <c r="O159" s="145">
        <f t="shared" si="5"/>
        <v>153.23</v>
      </c>
    </row>
    <row r="160" spans="1:15" s="80" customFormat="1" ht="15" customHeight="1">
      <c r="A160" s="806"/>
      <c r="B160" s="806"/>
      <c r="C160" s="808"/>
      <c r="D160" s="22">
        <v>1</v>
      </c>
      <c r="E160" s="22"/>
      <c r="F160" s="22">
        <v>1</v>
      </c>
      <c r="G160" s="22"/>
      <c r="H160" s="250">
        <v>1</v>
      </c>
      <c r="I160" s="22" t="s">
        <v>212</v>
      </c>
      <c r="J160" s="15" t="s">
        <v>18</v>
      </c>
      <c r="K160" s="22">
        <v>2007</v>
      </c>
      <c r="L160" s="145">
        <v>0</v>
      </c>
      <c r="M160" s="151">
        <v>200</v>
      </c>
      <c r="N160" s="151">
        <v>0</v>
      </c>
      <c r="O160" s="145">
        <f t="shared" si="5"/>
        <v>200</v>
      </c>
    </row>
    <row r="161" spans="1:15" s="80" customFormat="1" ht="15" customHeight="1">
      <c r="A161" s="806"/>
      <c r="B161" s="806"/>
      <c r="C161" s="808"/>
      <c r="D161" s="22">
        <v>1</v>
      </c>
      <c r="E161" s="22"/>
      <c r="F161" s="22">
        <v>1</v>
      </c>
      <c r="G161" s="22"/>
      <c r="H161" s="250">
        <v>1</v>
      </c>
      <c r="I161" s="22" t="s">
        <v>326</v>
      </c>
      <c r="J161" s="15" t="s">
        <v>326</v>
      </c>
      <c r="K161" s="22">
        <v>1998</v>
      </c>
      <c r="L161" s="145">
        <v>177</v>
      </c>
      <c r="M161" s="151">
        <v>250</v>
      </c>
      <c r="N161" s="151">
        <v>0</v>
      </c>
      <c r="O161" s="145">
        <f t="shared" si="5"/>
        <v>427</v>
      </c>
    </row>
    <row r="162" spans="1:15" s="80" customFormat="1" ht="15" customHeight="1">
      <c r="A162" s="806"/>
      <c r="B162" s="806"/>
      <c r="C162" s="819"/>
      <c r="D162" s="22">
        <v>1</v>
      </c>
      <c r="E162" s="22">
        <v>1</v>
      </c>
      <c r="F162" s="22"/>
      <c r="G162" s="22"/>
      <c r="H162" s="250">
        <v>1</v>
      </c>
      <c r="I162" s="15" t="s">
        <v>18</v>
      </c>
      <c r="J162" s="15" t="s">
        <v>18</v>
      </c>
      <c r="K162" s="22">
        <v>1997</v>
      </c>
      <c r="L162" s="145">
        <v>0</v>
      </c>
      <c r="M162" s="151">
        <v>200</v>
      </c>
      <c r="N162" s="151">
        <v>550</v>
      </c>
      <c r="O162" s="145">
        <f t="shared" si="5"/>
        <v>750</v>
      </c>
    </row>
    <row r="163" spans="1:15" s="161" customFormat="1" ht="15" customHeight="1">
      <c r="A163" s="1066" t="s">
        <v>95</v>
      </c>
      <c r="B163" s="1067"/>
      <c r="C163" s="355"/>
      <c r="D163" s="108">
        <f>SUM(D152:D162)</f>
        <v>11</v>
      </c>
      <c r="E163" s="108">
        <f>SUM(E152:E162)</f>
        <v>7</v>
      </c>
      <c r="F163" s="108">
        <f>SUM(F152:F162)</f>
        <v>4</v>
      </c>
      <c r="G163" s="108">
        <f>SUM(G155:G162)</f>
        <v>1</v>
      </c>
      <c r="H163" s="233">
        <f>SUM(H152:H162)</f>
        <v>10</v>
      </c>
      <c r="I163" s="109"/>
      <c r="J163" s="258"/>
      <c r="K163" s="109"/>
      <c r="L163" s="149">
        <f>SUM(L152:L162)</f>
        <v>1286.6499999999999</v>
      </c>
      <c r="M163" s="149">
        <f>SUM(M152:M162)</f>
        <v>1850</v>
      </c>
      <c r="N163" s="149">
        <f>SUM(N152:N162)</f>
        <v>750</v>
      </c>
      <c r="O163" s="149">
        <f>SUM(O152:O162)</f>
        <v>3886.65</v>
      </c>
    </row>
    <row r="164" spans="1:15" s="404" customFormat="1" ht="15" customHeight="1">
      <c r="A164" s="1064" t="s">
        <v>68</v>
      </c>
      <c r="B164" s="1068"/>
      <c r="C164" s="354"/>
      <c r="D164" s="19"/>
      <c r="E164" s="19"/>
      <c r="F164" s="19"/>
      <c r="G164" s="19"/>
      <c r="H164" s="251"/>
      <c r="I164" s="219"/>
      <c r="J164" s="72"/>
      <c r="K164" s="19"/>
      <c r="L164" s="160"/>
      <c r="M164" s="164"/>
      <c r="N164" s="164"/>
      <c r="O164" s="153"/>
    </row>
    <row r="165" spans="1:15" s="50" customFormat="1" ht="48" customHeight="1">
      <c r="A165" s="39" t="s">
        <v>332</v>
      </c>
      <c r="B165" s="39" t="s">
        <v>333</v>
      </c>
      <c r="C165" s="39" t="s">
        <v>213</v>
      </c>
      <c r="D165" s="115" t="s">
        <v>36</v>
      </c>
      <c r="E165" s="115" t="s">
        <v>73</v>
      </c>
      <c r="F165" s="115" t="s">
        <v>74</v>
      </c>
      <c r="G165" s="115" t="s">
        <v>37</v>
      </c>
      <c r="H165" s="268" t="s">
        <v>38</v>
      </c>
      <c r="I165" s="39" t="s">
        <v>15</v>
      </c>
      <c r="J165" s="115" t="s">
        <v>214</v>
      </c>
      <c r="K165" s="115" t="s">
        <v>39</v>
      </c>
      <c r="L165" s="130" t="s">
        <v>63</v>
      </c>
      <c r="M165" s="130" t="s">
        <v>149</v>
      </c>
      <c r="N165" s="130" t="s">
        <v>167</v>
      </c>
      <c r="O165" s="130" t="s">
        <v>58</v>
      </c>
    </row>
    <row r="166" spans="1:15" s="80" customFormat="1" ht="15" customHeight="1">
      <c r="A166" s="820"/>
      <c r="B166" s="820"/>
      <c r="C166" s="821"/>
      <c r="D166" s="22">
        <v>1</v>
      </c>
      <c r="E166" s="394">
        <v>1</v>
      </c>
      <c r="F166" s="394"/>
      <c r="G166" s="22"/>
      <c r="H166" s="250">
        <v>1</v>
      </c>
      <c r="I166" s="395" t="s">
        <v>212</v>
      </c>
      <c r="J166" s="396" t="s">
        <v>326</v>
      </c>
      <c r="K166" s="22">
        <v>2003</v>
      </c>
      <c r="L166" s="145">
        <v>1047.96</v>
      </c>
      <c r="M166" s="151">
        <v>0</v>
      </c>
      <c r="N166" s="151">
        <v>0</v>
      </c>
      <c r="O166" s="145">
        <f aca="true" t="shared" si="6" ref="O166:O208">L166+M166+N166</f>
        <v>1047.96</v>
      </c>
    </row>
    <row r="167" spans="1:15" s="80" customFormat="1" ht="15" customHeight="1">
      <c r="A167" s="820"/>
      <c r="B167" s="820"/>
      <c r="C167" s="821"/>
      <c r="D167" s="22">
        <v>1</v>
      </c>
      <c r="E167" s="394"/>
      <c r="F167" s="394">
        <v>1</v>
      </c>
      <c r="G167" s="22"/>
      <c r="H167" s="250">
        <v>1</v>
      </c>
      <c r="I167" s="395" t="s">
        <v>212</v>
      </c>
      <c r="J167" s="396" t="s">
        <v>18</v>
      </c>
      <c r="K167" s="394">
        <v>2008</v>
      </c>
      <c r="L167" s="145">
        <v>580</v>
      </c>
      <c r="M167" s="151">
        <v>0</v>
      </c>
      <c r="N167" s="151">
        <v>0</v>
      </c>
      <c r="O167" s="145">
        <f t="shared" si="6"/>
        <v>580</v>
      </c>
    </row>
    <row r="168" spans="1:15" s="80" customFormat="1" ht="15" customHeight="1">
      <c r="A168" s="822"/>
      <c r="B168" s="822"/>
      <c r="C168" s="823"/>
      <c r="D168" s="22">
        <v>1</v>
      </c>
      <c r="E168" s="406">
        <v>1</v>
      </c>
      <c r="F168" s="407"/>
      <c r="G168" s="22">
        <v>1</v>
      </c>
      <c r="H168" s="250"/>
      <c r="I168" s="414" t="s">
        <v>212</v>
      </c>
      <c r="J168" s="22" t="s">
        <v>142</v>
      </c>
      <c r="K168" s="22">
        <v>2007</v>
      </c>
      <c r="L168" s="145">
        <v>0</v>
      </c>
      <c r="M168" s="151">
        <v>0</v>
      </c>
      <c r="N168" s="151">
        <v>200</v>
      </c>
      <c r="O168" s="145">
        <f t="shared" si="6"/>
        <v>200</v>
      </c>
    </row>
    <row r="169" spans="1:15" s="80" customFormat="1" ht="15" customHeight="1">
      <c r="A169" s="820"/>
      <c r="B169" s="820"/>
      <c r="C169" s="821"/>
      <c r="D169" s="22">
        <v>1</v>
      </c>
      <c r="E169" s="22"/>
      <c r="F169" s="394">
        <v>1</v>
      </c>
      <c r="G169" s="22">
        <v>1</v>
      </c>
      <c r="H169" s="250"/>
      <c r="I169" s="414" t="s">
        <v>212</v>
      </c>
      <c r="J169" s="22" t="s">
        <v>142</v>
      </c>
      <c r="K169" s="22">
        <v>2003</v>
      </c>
      <c r="L169" s="145">
        <v>590</v>
      </c>
      <c r="M169" s="151">
        <v>0</v>
      </c>
      <c r="N169" s="151">
        <v>0</v>
      </c>
      <c r="O169" s="145">
        <f t="shared" si="6"/>
        <v>590</v>
      </c>
    </row>
    <row r="170" spans="1:15" s="80" customFormat="1" ht="15" customHeight="1">
      <c r="A170" s="820"/>
      <c r="B170" s="820"/>
      <c r="C170" s="821"/>
      <c r="D170" s="22">
        <v>1</v>
      </c>
      <c r="E170" s="394">
        <v>1</v>
      </c>
      <c r="F170" s="22"/>
      <c r="G170" s="22"/>
      <c r="H170" s="250">
        <v>1</v>
      </c>
      <c r="I170" s="393" t="s">
        <v>427</v>
      </c>
      <c r="J170" s="396" t="s">
        <v>427</v>
      </c>
      <c r="K170" s="22">
        <v>1995</v>
      </c>
      <c r="L170" s="145">
        <v>200</v>
      </c>
      <c r="M170" s="151">
        <v>0</v>
      </c>
      <c r="N170" s="151">
        <v>0</v>
      </c>
      <c r="O170" s="145">
        <f t="shared" si="6"/>
        <v>200</v>
      </c>
    </row>
    <row r="171" spans="1:15" s="80" customFormat="1" ht="15" customHeight="1">
      <c r="A171" s="820"/>
      <c r="B171" s="811"/>
      <c r="C171" s="821"/>
      <c r="D171" s="22">
        <v>1</v>
      </c>
      <c r="E171" s="394">
        <v>1</v>
      </c>
      <c r="F171" s="22"/>
      <c r="G171" s="22"/>
      <c r="H171" s="250">
        <v>1</v>
      </c>
      <c r="I171" s="395" t="s">
        <v>212</v>
      </c>
      <c r="J171" s="396" t="s">
        <v>427</v>
      </c>
      <c r="K171" s="394">
        <v>2001</v>
      </c>
      <c r="L171" s="145">
        <v>300</v>
      </c>
      <c r="M171" s="151">
        <v>0</v>
      </c>
      <c r="N171" s="151">
        <v>0</v>
      </c>
      <c r="O171" s="145">
        <f t="shared" si="6"/>
        <v>300</v>
      </c>
    </row>
    <row r="172" spans="1:15" s="80" customFormat="1" ht="15" customHeight="1">
      <c r="A172" s="820"/>
      <c r="B172" s="820"/>
      <c r="C172" s="821"/>
      <c r="D172" s="22">
        <v>1</v>
      </c>
      <c r="E172" s="22"/>
      <c r="F172" s="22">
        <v>1</v>
      </c>
      <c r="G172" s="22"/>
      <c r="H172" s="394">
        <v>1</v>
      </c>
      <c r="I172" s="395" t="s">
        <v>212</v>
      </c>
      <c r="J172" s="396" t="s">
        <v>342</v>
      </c>
      <c r="K172" s="394">
        <v>2001</v>
      </c>
      <c r="L172" s="145">
        <v>0</v>
      </c>
      <c r="M172" s="151">
        <v>0</v>
      </c>
      <c r="N172" s="151">
        <v>300</v>
      </c>
      <c r="O172" s="145">
        <f t="shared" si="6"/>
        <v>300</v>
      </c>
    </row>
    <row r="173" spans="1:15" s="80" customFormat="1" ht="15" customHeight="1">
      <c r="A173" s="820"/>
      <c r="B173" s="820"/>
      <c r="C173" s="821"/>
      <c r="D173" s="22">
        <v>1</v>
      </c>
      <c r="E173" s="394">
        <v>1</v>
      </c>
      <c r="F173" s="394"/>
      <c r="G173" s="22"/>
      <c r="H173" s="250">
        <v>1</v>
      </c>
      <c r="I173" s="395" t="s">
        <v>18</v>
      </c>
      <c r="J173" s="396" t="s">
        <v>18</v>
      </c>
      <c r="K173" s="22">
        <v>2008</v>
      </c>
      <c r="L173" s="145">
        <v>663</v>
      </c>
      <c r="M173" s="151">
        <v>0</v>
      </c>
      <c r="N173" s="151">
        <v>0</v>
      </c>
      <c r="O173" s="145">
        <f t="shared" si="6"/>
        <v>663</v>
      </c>
    </row>
    <row r="174" spans="1:15" s="80" customFormat="1" ht="15" customHeight="1">
      <c r="A174" s="820"/>
      <c r="B174" s="820"/>
      <c r="C174" s="821"/>
      <c r="D174" s="22">
        <v>1</v>
      </c>
      <c r="E174" s="394">
        <v>1</v>
      </c>
      <c r="F174" s="22"/>
      <c r="G174" s="22"/>
      <c r="H174" s="250">
        <v>1</v>
      </c>
      <c r="I174" s="395" t="s">
        <v>212</v>
      </c>
      <c r="J174" s="396" t="s">
        <v>18</v>
      </c>
      <c r="K174" s="394">
        <v>1996</v>
      </c>
      <c r="L174" s="145">
        <v>0</v>
      </c>
      <c r="M174" s="151">
        <v>0</v>
      </c>
      <c r="N174" s="151">
        <v>100</v>
      </c>
      <c r="O174" s="145">
        <f t="shared" si="6"/>
        <v>100</v>
      </c>
    </row>
    <row r="175" spans="1:15" s="80" customFormat="1" ht="15" customHeight="1">
      <c r="A175" s="820"/>
      <c r="B175" s="820"/>
      <c r="C175" s="821"/>
      <c r="D175" s="22">
        <v>1</v>
      </c>
      <c r="E175" s="394">
        <v>1</v>
      </c>
      <c r="F175" s="22"/>
      <c r="G175" s="22">
        <v>1</v>
      </c>
      <c r="H175" s="250"/>
      <c r="I175" s="395" t="s">
        <v>212</v>
      </c>
      <c r="J175" s="396" t="s">
        <v>212</v>
      </c>
      <c r="K175" s="394">
        <v>2005</v>
      </c>
      <c r="L175" s="145">
        <v>1370</v>
      </c>
      <c r="M175" s="151">
        <v>0</v>
      </c>
      <c r="N175" s="151">
        <v>0</v>
      </c>
      <c r="O175" s="145">
        <f t="shared" si="6"/>
        <v>1370</v>
      </c>
    </row>
    <row r="176" spans="1:15" s="80" customFormat="1" ht="15" customHeight="1">
      <c r="A176" s="820"/>
      <c r="B176" s="820"/>
      <c r="C176" s="821"/>
      <c r="D176" s="22">
        <v>1</v>
      </c>
      <c r="E176" s="394">
        <v>1</v>
      </c>
      <c r="F176" s="394"/>
      <c r="G176" s="22"/>
      <c r="H176" s="250">
        <v>1</v>
      </c>
      <c r="I176" s="395" t="s">
        <v>212</v>
      </c>
      <c r="J176" s="396" t="s">
        <v>18</v>
      </c>
      <c r="K176" s="394">
        <v>2010</v>
      </c>
      <c r="L176" s="145">
        <v>150</v>
      </c>
      <c r="M176" s="151">
        <v>0</v>
      </c>
      <c r="N176" s="151">
        <v>0</v>
      </c>
      <c r="O176" s="145">
        <f t="shared" si="6"/>
        <v>150</v>
      </c>
    </row>
    <row r="177" spans="1:15" s="80" customFormat="1" ht="15" customHeight="1">
      <c r="A177" s="820"/>
      <c r="B177" s="820"/>
      <c r="C177" s="824"/>
      <c r="D177" s="22">
        <v>1</v>
      </c>
      <c r="E177" s="394">
        <v>1</v>
      </c>
      <c r="F177" s="22"/>
      <c r="G177" s="22"/>
      <c r="H177" s="250">
        <v>1</v>
      </c>
      <c r="I177" s="395" t="s">
        <v>212</v>
      </c>
      <c r="J177" s="405" t="s">
        <v>18</v>
      </c>
      <c r="K177" s="394">
        <v>1995</v>
      </c>
      <c r="L177" s="145">
        <v>122.7</v>
      </c>
      <c r="M177" s="151">
        <v>0</v>
      </c>
      <c r="N177" s="151">
        <v>0</v>
      </c>
      <c r="O177" s="145">
        <f t="shared" si="6"/>
        <v>122.7</v>
      </c>
    </row>
    <row r="178" spans="1:15" s="80" customFormat="1" ht="15" customHeight="1">
      <c r="A178" s="820"/>
      <c r="B178" s="820"/>
      <c r="C178" s="801"/>
      <c r="D178" s="22">
        <v>1</v>
      </c>
      <c r="E178" s="22"/>
      <c r="F178" s="394">
        <v>1</v>
      </c>
      <c r="G178" s="22"/>
      <c r="H178" s="250">
        <v>1</v>
      </c>
      <c r="I178" s="395" t="s">
        <v>212</v>
      </c>
      <c r="J178" s="405" t="s">
        <v>326</v>
      </c>
      <c r="K178" s="394">
        <v>2010</v>
      </c>
      <c r="L178" s="145">
        <v>491.5</v>
      </c>
      <c r="M178" s="151">
        <v>0</v>
      </c>
      <c r="N178" s="151">
        <v>0</v>
      </c>
      <c r="O178" s="145">
        <f t="shared" si="6"/>
        <v>491.5</v>
      </c>
    </row>
    <row r="179" spans="1:15" s="80" customFormat="1" ht="15" customHeight="1">
      <c r="A179" s="820"/>
      <c r="B179" s="820"/>
      <c r="C179" s="825"/>
      <c r="D179" s="22">
        <v>1</v>
      </c>
      <c r="E179" s="394"/>
      <c r="F179" s="394">
        <v>1</v>
      </c>
      <c r="G179" s="22">
        <v>1</v>
      </c>
      <c r="H179" s="250"/>
      <c r="I179" s="395" t="s">
        <v>212</v>
      </c>
      <c r="J179" s="22" t="s">
        <v>142</v>
      </c>
      <c r="K179" s="22">
        <v>2008</v>
      </c>
      <c r="L179" s="145">
        <v>370</v>
      </c>
      <c r="M179" s="151">
        <v>0</v>
      </c>
      <c r="N179" s="151">
        <v>0</v>
      </c>
      <c r="O179" s="145">
        <f t="shared" si="6"/>
        <v>370</v>
      </c>
    </row>
    <row r="180" spans="1:15" s="80" customFormat="1" ht="15" customHeight="1">
      <c r="A180" s="820"/>
      <c r="B180" s="820"/>
      <c r="C180" s="825"/>
      <c r="D180" s="22">
        <v>1</v>
      </c>
      <c r="E180" s="394"/>
      <c r="F180" s="394">
        <v>1</v>
      </c>
      <c r="G180" s="22">
        <v>1</v>
      </c>
      <c r="H180" s="250"/>
      <c r="I180" s="395" t="s">
        <v>212</v>
      </c>
      <c r="J180" s="405" t="s">
        <v>212</v>
      </c>
      <c r="K180" s="394">
        <v>1998</v>
      </c>
      <c r="L180" s="145">
        <v>0</v>
      </c>
      <c r="M180" s="151">
        <v>280</v>
      </c>
      <c r="N180" s="151">
        <v>0</v>
      </c>
      <c r="O180" s="145">
        <f t="shared" si="6"/>
        <v>280</v>
      </c>
    </row>
    <row r="181" spans="1:15" s="80" customFormat="1" ht="15" customHeight="1">
      <c r="A181" s="820"/>
      <c r="B181" s="820"/>
      <c r="C181" s="825"/>
      <c r="D181" s="22">
        <v>1</v>
      </c>
      <c r="E181" s="22">
        <v>1</v>
      </c>
      <c r="F181" s="22"/>
      <c r="G181" s="22">
        <v>1</v>
      </c>
      <c r="H181" s="250"/>
      <c r="I181" s="395" t="s">
        <v>212</v>
      </c>
      <c r="J181" s="405" t="s">
        <v>212</v>
      </c>
      <c r="K181" s="394">
        <v>2002</v>
      </c>
      <c r="L181" s="145">
        <v>200</v>
      </c>
      <c r="M181" s="151">
        <v>0</v>
      </c>
      <c r="N181" s="151">
        <v>0</v>
      </c>
      <c r="O181" s="145">
        <f t="shared" si="6"/>
        <v>200</v>
      </c>
    </row>
    <row r="182" spans="1:15" s="80" customFormat="1" ht="15" customHeight="1">
      <c r="A182" s="820"/>
      <c r="B182" s="820"/>
      <c r="C182" s="825"/>
      <c r="D182" s="22">
        <v>1</v>
      </c>
      <c r="E182" s="22"/>
      <c r="F182" s="22">
        <v>1</v>
      </c>
      <c r="G182" s="22">
        <v>1</v>
      </c>
      <c r="H182" s="250"/>
      <c r="I182" s="395" t="s">
        <v>212</v>
      </c>
      <c r="J182" s="405" t="s">
        <v>136</v>
      </c>
      <c r="K182" s="394">
        <v>2007</v>
      </c>
      <c r="L182" s="145">
        <v>180</v>
      </c>
      <c r="M182" s="151">
        <v>0</v>
      </c>
      <c r="N182" s="151">
        <v>0</v>
      </c>
      <c r="O182" s="145">
        <f t="shared" si="6"/>
        <v>180</v>
      </c>
    </row>
    <row r="183" spans="1:15" s="80" customFormat="1" ht="15" customHeight="1">
      <c r="A183" s="820"/>
      <c r="B183" s="820"/>
      <c r="C183" s="825"/>
      <c r="D183" s="22">
        <v>1</v>
      </c>
      <c r="E183" s="22">
        <v>1</v>
      </c>
      <c r="F183" s="22"/>
      <c r="G183" s="22"/>
      <c r="H183" s="250">
        <v>1</v>
      </c>
      <c r="I183" s="393" t="s">
        <v>18</v>
      </c>
      <c r="J183" s="394" t="s">
        <v>18</v>
      </c>
      <c r="K183" s="394">
        <v>1996</v>
      </c>
      <c r="L183" s="145">
        <v>371.66</v>
      </c>
      <c r="M183" s="151">
        <v>3300</v>
      </c>
      <c r="N183" s="151">
        <v>0</v>
      </c>
      <c r="O183" s="145">
        <f t="shared" si="6"/>
        <v>3671.66</v>
      </c>
    </row>
    <row r="184" spans="1:15" s="80" customFormat="1" ht="15" customHeight="1">
      <c r="A184" s="820"/>
      <c r="B184" s="820"/>
      <c r="C184" s="825"/>
      <c r="D184" s="22">
        <v>1</v>
      </c>
      <c r="E184" s="394">
        <v>1</v>
      </c>
      <c r="F184" s="394"/>
      <c r="G184" s="22"/>
      <c r="H184" s="250">
        <v>1</v>
      </c>
      <c r="I184" s="398" t="s">
        <v>212</v>
      </c>
      <c r="J184" s="405" t="s">
        <v>460</v>
      </c>
      <c r="K184" s="394">
        <v>2000</v>
      </c>
      <c r="L184" s="145">
        <v>1270</v>
      </c>
      <c r="M184" s="151">
        <v>0</v>
      </c>
      <c r="N184" s="151">
        <v>150</v>
      </c>
      <c r="O184" s="145">
        <f t="shared" si="6"/>
        <v>1420</v>
      </c>
    </row>
    <row r="185" spans="1:15" s="80" customFormat="1" ht="15" customHeight="1">
      <c r="A185" s="820"/>
      <c r="B185" s="820"/>
      <c r="C185" s="825"/>
      <c r="D185" s="22">
        <v>1</v>
      </c>
      <c r="E185" s="394">
        <v>1</v>
      </c>
      <c r="F185" s="22"/>
      <c r="G185" s="22"/>
      <c r="H185" s="250">
        <v>1</v>
      </c>
      <c r="I185" s="393" t="s">
        <v>212</v>
      </c>
      <c r="J185" s="405" t="s">
        <v>460</v>
      </c>
      <c r="K185" s="394">
        <v>1997</v>
      </c>
      <c r="L185" s="145">
        <v>0</v>
      </c>
      <c r="M185" s="151">
        <v>0</v>
      </c>
      <c r="N185" s="151">
        <v>300</v>
      </c>
      <c r="O185" s="145">
        <f t="shared" si="6"/>
        <v>300</v>
      </c>
    </row>
    <row r="186" spans="1:15" s="80" customFormat="1" ht="15" customHeight="1">
      <c r="A186" s="820"/>
      <c r="B186" s="820"/>
      <c r="C186" s="825"/>
      <c r="D186" s="22">
        <v>1</v>
      </c>
      <c r="E186" s="394"/>
      <c r="F186" s="394">
        <v>1</v>
      </c>
      <c r="G186" s="22"/>
      <c r="H186" s="250">
        <v>1</v>
      </c>
      <c r="I186" s="395" t="s">
        <v>212</v>
      </c>
      <c r="J186" s="405" t="s">
        <v>18</v>
      </c>
      <c r="K186" s="394">
        <v>2002</v>
      </c>
      <c r="L186" s="145">
        <v>230</v>
      </c>
      <c r="M186" s="151">
        <v>0</v>
      </c>
      <c r="N186" s="151">
        <v>0</v>
      </c>
      <c r="O186" s="145">
        <f t="shared" si="6"/>
        <v>230</v>
      </c>
    </row>
    <row r="187" spans="1:15" s="80" customFormat="1" ht="15" customHeight="1">
      <c r="A187" s="820"/>
      <c r="B187" s="820"/>
      <c r="C187" s="825"/>
      <c r="D187" s="22">
        <v>1</v>
      </c>
      <c r="E187" s="394"/>
      <c r="F187" s="394">
        <v>1</v>
      </c>
      <c r="G187" s="22"/>
      <c r="H187" s="250">
        <v>1</v>
      </c>
      <c r="I187" s="395" t="s">
        <v>19</v>
      </c>
      <c r="J187" s="405" t="s">
        <v>19</v>
      </c>
      <c r="K187" s="394">
        <v>1998</v>
      </c>
      <c r="L187" s="145">
        <v>0</v>
      </c>
      <c r="M187" s="151">
        <v>0</v>
      </c>
      <c r="N187" s="151">
        <v>450</v>
      </c>
      <c r="O187" s="145">
        <f t="shared" si="6"/>
        <v>450</v>
      </c>
    </row>
    <row r="188" spans="1:15" s="80" customFormat="1" ht="15" customHeight="1">
      <c r="A188" s="820"/>
      <c r="B188" s="820"/>
      <c r="C188" s="825"/>
      <c r="D188" s="22">
        <v>1</v>
      </c>
      <c r="E188" s="394">
        <v>1</v>
      </c>
      <c r="F188" s="394"/>
      <c r="G188" s="22"/>
      <c r="H188" s="250">
        <v>1</v>
      </c>
      <c r="I188" s="395" t="s">
        <v>212</v>
      </c>
      <c r="J188" s="405" t="s">
        <v>20</v>
      </c>
      <c r="K188" s="394">
        <v>2010</v>
      </c>
      <c r="L188" s="145">
        <v>200</v>
      </c>
      <c r="M188" s="151">
        <v>0</v>
      </c>
      <c r="N188" s="151">
        <v>0</v>
      </c>
      <c r="O188" s="145">
        <f t="shared" si="6"/>
        <v>200</v>
      </c>
    </row>
    <row r="189" spans="1:15" s="80" customFormat="1" ht="15" customHeight="1">
      <c r="A189" s="820"/>
      <c r="B189" s="820"/>
      <c r="C189" s="825"/>
      <c r="D189" s="22">
        <v>1</v>
      </c>
      <c r="E189" s="394">
        <v>1</v>
      </c>
      <c r="F189" s="394"/>
      <c r="G189" s="22"/>
      <c r="H189" s="250">
        <v>1</v>
      </c>
      <c r="I189" s="393" t="s">
        <v>212</v>
      </c>
      <c r="J189" s="405" t="s">
        <v>18</v>
      </c>
      <c r="K189" s="394">
        <v>1995</v>
      </c>
      <c r="L189" s="145">
        <v>0</v>
      </c>
      <c r="M189" s="151">
        <v>0</v>
      </c>
      <c r="N189" s="151">
        <v>370</v>
      </c>
      <c r="O189" s="145">
        <f t="shared" si="6"/>
        <v>370</v>
      </c>
    </row>
    <row r="190" spans="1:15" s="80" customFormat="1" ht="15" customHeight="1">
      <c r="A190" s="826"/>
      <c r="B190" s="820"/>
      <c r="C190" s="825"/>
      <c r="D190" s="22">
        <v>1</v>
      </c>
      <c r="E190" s="394"/>
      <c r="F190" s="394">
        <v>1</v>
      </c>
      <c r="G190" s="22"/>
      <c r="H190" s="250">
        <v>1</v>
      </c>
      <c r="I190" s="407" t="s">
        <v>327</v>
      </c>
      <c r="J190" s="405" t="s">
        <v>327</v>
      </c>
      <c r="K190" s="394">
        <v>1997</v>
      </c>
      <c r="L190" s="145">
        <v>250</v>
      </c>
      <c r="M190" s="151">
        <v>0</v>
      </c>
      <c r="N190" s="151">
        <v>0</v>
      </c>
      <c r="O190" s="145">
        <f t="shared" si="6"/>
        <v>250</v>
      </c>
    </row>
    <row r="191" spans="1:15" s="80" customFormat="1" ht="15" customHeight="1">
      <c r="A191" s="820"/>
      <c r="B191" s="820"/>
      <c r="C191" s="825"/>
      <c r="D191" s="22">
        <v>1</v>
      </c>
      <c r="E191" s="394">
        <v>1</v>
      </c>
      <c r="F191" s="394"/>
      <c r="G191" s="22"/>
      <c r="H191" s="250">
        <v>1</v>
      </c>
      <c r="I191" s="394" t="s">
        <v>495</v>
      </c>
      <c r="J191" s="405" t="s">
        <v>495</v>
      </c>
      <c r="K191" s="394">
        <v>1997</v>
      </c>
      <c r="L191" s="145">
        <v>0</v>
      </c>
      <c r="M191" s="151">
        <v>0</v>
      </c>
      <c r="N191" s="151">
        <v>160</v>
      </c>
      <c r="O191" s="145">
        <f t="shared" si="6"/>
        <v>160</v>
      </c>
    </row>
    <row r="192" spans="1:15" s="80" customFormat="1" ht="15" customHeight="1">
      <c r="A192" s="820"/>
      <c r="B192" s="820"/>
      <c r="C192" s="825"/>
      <c r="D192" s="22">
        <v>1</v>
      </c>
      <c r="E192" s="394"/>
      <c r="F192" s="394">
        <v>1</v>
      </c>
      <c r="G192" s="22"/>
      <c r="H192" s="250">
        <v>1</v>
      </c>
      <c r="I192" s="394" t="s">
        <v>212</v>
      </c>
      <c r="J192" s="405" t="s">
        <v>18</v>
      </c>
      <c r="K192" s="394">
        <v>2006</v>
      </c>
      <c r="L192" s="145">
        <v>425.86</v>
      </c>
      <c r="M192" s="151">
        <v>0</v>
      </c>
      <c r="N192" s="151">
        <v>0</v>
      </c>
      <c r="O192" s="145">
        <f t="shared" si="6"/>
        <v>425.86</v>
      </c>
    </row>
    <row r="193" spans="1:15" s="80" customFormat="1" ht="15" customHeight="1">
      <c r="A193" s="820"/>
      <c r="B193" s="820"/>
      <c r="C193" s="825"/>
      <c r="D193" s="22">
        <v>1</v>
      </c>
      <c r="E193" s="394"/>
      <c r="F193" s="394">
        <v>1</v>
      </c>
      <c r="G193" s="22"/>
      <c r="H193" s="250">
        <v>1</v>
      </c>
      <c r="I193" s="394" t="s">
        <v>212</v>
      </c>
      <c r="J193" s="405" t="s">
        <v>20</v>
      </c>
      <c r="K193" s="394">
        <v>2010</v>
      </c>
      <c r="L193" s="145">
        <v>165</v>
      </c>
      <c r="M193" s="151">
        <v>0</v>
      </c>
      <c r="N193" s="151">
        <v>0</v>
      </c>
      <c r="O193" s="145">
        <f t="shared" si="6"/>
        <v>165</v>
      </c>
    </row>
    <row r="194" spans="1:15" s="80" customFormat="1" ht="15" customHeight="1">
      <c r="A194" s="820"/>
      <c r="B194" s="820"/>
      <c r="C194" s="825"/>
      <c r="D194" s="22">
        <v>1</v>
      </c>
      <c r="E194" s="394">
        <v>1</v>
      </c>
      <c r="F194" s="394"/>
      <c r="G194" s="22"/>
      <c r="H194" s="250">
        <v>1</v>
      </c>
      <c r="I194" s="394" t="s">
        <v>344</v>
      </c>
      <c r="J194" s="405" t="s">
        <v>397</v>
      </c>
      <c r="K194" s="394">
        <v>2000</v>
      </c>
      <c r="L194" s="145">
        <v>150</v>
      </c>
      <c r="M194" s="151">
        <v>0</v>
      </c>
      <c r="N194" s="151">
        <v>240</v>
      </c>
      <c r="O194" s="145">
        <f t="shared" si="6"/>
        <v>390</v>
      </c>
    </row>
    <row r="195" spans="1:15" s="80" customFormat="1" ht="15" customHeight="1">
      <c r="A195" s="820"/>
      <c r="B195" s="820"/>
      <c r="C195" s="825"/>
      <c r="D195" s="22">
        <v>1</v>
      </c>
      <c r="E195" s="394">
        <v>1</v>
      </c>
      <c r="F195" s="394"/>
      <c r="G195" s="22">
        <v>1</v>
      </c>
      <c r="H195" s="250"/>
      <c r="I195" s="405" t="s">
        <v>212</v>
      </c>
      <c r="J195" s="405" t="s">
        <v>212</v>
      </c>
      <c r="K195" s="394">
        <v>1997</v>
      </c>
      <c r="L195" s="145">
        <v>450</v>
      </c>
      <c r="M195" s="151">
        <v>0</v>
      </c>
      <c r="N195" s="151">
        <v>300</v>
      </c>
      <c r="O195" s="145">
        <f t="shared" si="6"/>
        <v>750</v>
      </c>
    </row>
    <row r="196" spans="1:15" s="80" customFormat="1" ht="15" customHeight="1">
      <c r="A196" s="820"/>
      <c r="B196" s="820"/>
      <c r="C196" s="825"/>
      <c r="D196" s="22">
        <v>1</v>
      </c>
      <c r="E196" s="394">
        <v>1</v>
      </c>
      <c r="F196" s="394"/>
      <c r="G196" s="22"/>
      <c r="H196" s="250">
        <v>1</v>
      </c>
      <c r="I196" s="394" t="s">
        <v>212</v>
      </c>
      <c r="J196" s="405" t="s">
        <v>18</v>
      </c>
      <c r="K196" s="394">
        <v>2002</v>
      </c>
      <c r="L196" s="145">
        <v>470</v>
      </c>
      <c r="M196" s="151">
        <v>0</v>
      </c>
      <c r="N196" s="151">
        <v>0</v>
      </c>
      <c r="O196" s="145">
        <f t="shared" si="6"/>
        <v>470</v>
      </c>
    </row>
    <row r="197" spans="1:15" s="80" customFormat="1" ht="15" customHeight="1">
      <c r="A197" s="820"/>
      <c r="B197" s="820"/>
      <c r="C197" s="825"/>
      <c r="D197" s="22">
        <v>1</v>
      </c>
      <c r="E197" s="394">
        <v>1</v>
      </c>
      <c r="F197" s="394"/>
      <c r="G197" s="22"/>
      <c r="H197" s="250">
        <v>1</v>
      </c>
      <c r="I197" s="398" t="s">
        <v>212</v>
      </c>
      <c r="J197" s="405" t="s">
        <v>18</v>
      </c>
      <c r="K197" s="394">
        <v>2010</v>
      </c>
      <c r="L197" s="145">
        <v>0</v>
      </c>
      <c r="M197" s="151">
        <v>400</v>
      </c>
      <c r="N197" s="151">
        <v>0</v>
      </c>
      <c r="O197" s="145">
        <f t="shared" si="6"/>
        <v>400</v>
      </c>
    </row>
    <row r="198" spans="1:15" s="80" customFormat="1" ht="15" customHeight="1">
      <c r="A198" s="820"/>
      <c r="B198" s="820"/>
      <c r="C198" s="825"/>
      <c r="D198" s="22">
        <v>1</v>
      </c>
      <c r="E198" s="394"/>
      <c r="F198" s="394">
        <v>1</v>
      </c>
      <c r="G198" s="22"/>
      <c r="H198" s="250">
        <v>1</v>
      </c>
      <c r="I198" s="395" t="s">
        <v>212</v>
      </c>
      <c r="J198" s="405" t="s">
        <v>18</v>
      </c>
      <c r="K198" s="394">
        <v>2009</v>
      </c>
      <c r="L198" s="145">
        <v>250</v>
      </c>
      <c r="M198" s="151">
        <v>0</v>
      </c>
      <c r="N198" s="151">
        <v>0</v>
      </c>
      <c r="O198" s="145">
        <f t="shared" si="6"/>
        <v>250</v>
      </c>
    </row>
    <row r="199" spans="1:15" s="80" customFormat="1" ht="15" customHeight="1">
      <c r="A199" s="820"/>
      <c r="B199" s="820"/>
      <c r="C199" s="825"/>
      <c r="D199" s="22">
        <v>1</v>
      </c>
      <c r="E199" s="22"/>
      <c r="F199" s="22">
        <v>1</v>
      </c>
      <c r="G199" s="22">
        <v>1</v>
      </c>
      <c r="H199" s="250"/>
      <c r="I199" s="395" t="s">
        <v>212</v>
      </c>
      <c r="J199" s="405" t="s">
        <v>212</v>
      </c>
      <c r="K199" s="394">
        <v>2005</v>
      </c>
      <c r="L199" s="145">
        <v>233</v>
      </c>
      <c r="M199" s="151">
        <v>0</v>
      </c>
      <c r="N199" s="151">
        <v>0</v>
      </c>
      <c r="O199" s="145">
        <f t="shared" si="6"/>
        <v>233</v>
      </c>
    </row>
    <row r="200" spans="1:15" s="80" customFormat="1" ht="15" customHeight="1">
      <c r="A200" s="820"/>
      <c r="B200" s="820"/>
      <c r="C200" s="825"/>
      <c r="D200" s="22">
        <v>1</v>
      </c>
      <c r="E200" s="394">
        <v>1</v>
      </c>
      <c r="F200" s="22"/>
      <c r="G200" s="22">
        <v>1</v>
      </c>
      <c r="H200" s="250"/>
      <c r="I200" s="395" t="s">
        <v>212</v>
      </c>
      <c r="J200" s="405" t="s">
        <v>212</v>
      </c>
      <c r="K200" s="394">
        <v>1993</v>
      </c>
      <c r="L200" s="145">
        <v>80</v>
      </c>
      <c r="M200" s="151">
        <v>0</v>
      </c>
      <c r="N200" s="151">
        <v>0</v>
      </c>
      <c r="O200" s="145">
        <f t="shared" si="6"/>
        <v>80</v>
      </c>
    </row>
    <row r="201" spans="1:15" s="80" customFormat="1" ht="15" customHeight="1">
      <c r="A201" s="820"/>
      <c r="B201" s="820"/>
      <c r="C201" s="825"/>
      <c r="D201" s="22">
        <v>1</v>
      </c>
      <c r="E201" s="394">
        <v>1</v>
      </c>
      <c r="F201" s="22"/>
      <c r="G201" s="22">
        <v>1</v>
      </c>
      <c r="H201" s="250"/>
      <c r="I201" s="395" t="s">
        <v>212</v>
      </c>
      <c r="J201" s="405" t="s">
        <v>212</v>
      </c>
      <c r="K201" s="394">
        <v>2005</v>
      </c>
      <c r="L201" s="145">
        <v>0</v>
      </c>
      <c r="M201" s="151">
        <f>1899+501</f>
        <v>2400</v>
      </c>
      <c r="N201" s="151">
        <v>0</v>
      </c>
      <c r="O201" s="145">
        <f t="shared" si="6"/>
        <v>2400</v>
      </c>
    </row>
    <row r="202" spans="1:15" s="80" customFormat="1" ht="15" customHeight="1">
      <c r="A202" s="820"/>
      <c r="B202" s="820"/>
      <c r="C202" s="825"/>
      <c r="D202" s="22">
        <v>1</v>
      </c>
      <c r="E202" s="394"/>
      <c r="F202" s="394">
        <v>1</v>
      </c>
      <c r="G202" s="22">
        <v>1</v>
      </c>
      <c r="H202" s="250"/>
      <c r="I202" s="395" t="s">
        <v>212</v>
      </c>
      <c r="J202" s="405" t="s">
        <v>136</v>
      </c>
      <c r="K202" s="394">
        <v>2001</v>
      </c>
      <c r="L202" s="145">
        <v>3280</v>
      </c>
      <c r="M202" s="151">
        <v>0</v>
      </c>
      <c r="N202" s="151">
        <v>0</v>
      </c>
      <c r="O202" s="145">
        <f t="shared" si="6"/>
        <v>3280</v>
      </c>
    </row>
    <row r="203" spans="1:15" s="80" customFormat="1" ht="15" customHeight="1">
      <c r="A203" s="820"/>
      <c r="B203" s="820"/>
      <c r="C203" s="825"/>
      <c r="D203" s="22">
        <v>1</v>
      </c>
      <c r="E203" s="394">
        <v>1</v>
      </c>
      <c r="F203" s="22"/>
      <c r="G203" s="22"/>
      <c r="H203" s="250">
        <v>1</v>
      </c>
      <c r="I203" s="395" t="s">
        <v>212</v>
      </c>
      <c r="J203" s="405" t="s">
        <v>327</v>
      </c>
      <c r="K203" s="394">
        <v>2003</v>
      </c>
      <c r="L203" s="145">
        <v>350</v>
      </c>
      <c r="M203" s="151">
        <v>0</v>
      </c>
      <c r="N203" s="151">
        <v>0</v>
      </c>
      <c r="O203" s="145">
        <f t="shared" si="6"/>
        <v>350</v>
      </c>
    </row>
    <row r="204" spans="1:15" s="80" customFormat="1" ht="15" customHeight="1">
      <c r="A204" s="820"/>
      <c r="B204" s="820"/>
      <c r="C204" s="825"/>
      <c r="D204" s="22">
        <v>1</v>
      </c>
      <c r="E204" s="22"/>
      <c r="F204" s="22">
        <v>1</v>
      </c>
      <c r="G204" s="22"/>
      <c r="H204" s="250">
        <v>1</v>
      </c>
      <c r="I204" s="395" t="s">
        <v>212</v>
      </c>
      <c r="J204" s="405" t="s">
        <v>18</v>
      </c>
      <c r="K204" s="394">
        <v>2006</v>
      </c>
      <c r="L204" s="145">
        <v>798.71</v>
      </c>
      <c r="M204" s="151">
        <v>0</v>
      </c>
      <c r="N204" s="151">
        <v>0</v>
      </c>
      <c r="O204" s="145">
        <f t="shared" si="6"/>
        <v>798.71</v>
      </c>
    </row>
    <row r="205" spans="1:15" s="80" customFormat="1" ht="15" customHeight="1">
      <c r="A205" s="820"/>
      <c r="B205" s="820"/>
      <c r="C205" s="825"/>
      <c r="D205" s="22">
        <v>1</v>
      </c>
      <c r="E205" s="22">
        <v>1</v>
      </c>
      <c r="F205" s="22"/>
      <c r="G205" s="22"/>
      <c r="H205" s="250">
        <v>1</v>
      </c>
      <c r="I205" s="395" t="s">
        <v>212</v>
      </c>
      <c r="J205" s="405" t="s">
        <v>343</v>
      </c>
      <c r="K205" s="394">
        <v>2011</v>
      </c>
      <c r="L205" s="145">
        <v>0</v>
      </c>
      <c r="M205" s="151">
        <v>385</v>
      </c>
      <c r="N205" s="151">
        <v>0</v>
      </c>
      <c r="O205" s="145">
        <f t="shared" si="6"/>
        <v>385</v>
      </c>
    </row>
    <row r="206" spans="1:15" s="80" customFormat="1" ht="15" customHeight="1">
      <c r="A206" s="820"/>
      <c r="B206" s="820"/>
      <c r="C206" s="825"/>
      <c r="D206" s="22">
        <v>1</v>
      </c>
      <c r="E206" s="22"/>
      <c r="F206" s="22">
        <v>1</v>
      </c>
      <c r="G206" s="22"/>
      <c r="H206" s="250">
        <v>1</v>
      </c>
      <c r="I206" s="395" t="s">
        <v>212</v>
      </c>
      <c r="J206" s="405" t="s">
        <v>343</v>
      </c>
      <c r="K206" s="394">
        <v>2012</v>
      </c>
      <c r="L206" s="145">
        <v>450</v>
      </c>
      <c r="M206" s="151">
        <v>0</v>
      </c>
      <c r="N206" s="151">
        <v>0</v>
      </c>
      <c r="O206" s="145">
        <f t="shared" si="6"/>
        <v>450</v>
      </c>
    </row>
    <row r="207" spans="1:15" s="80" customFormat="1" ht="15" customHeight="1">
      <c r="A207" s="820"/>
      <c r="B207" s="820"/>
      <c r="C207" s="825"/>
      <c r="D207" s="22">
        <v>1</v>
      </c>
      <c r="E207" s="22">
        <v>1</v>
      </c>
      <c r="F207" s="22"/>
      <c r="G207" s="22"/>
      <c r="H207" s="250">
        <v>1</v>
      </c>
      <c r="I207" s="407" t="s">
        <v>212</v>
      </c>
      <c r="J207" s="405" t="s">
        <v>498</v>
      </c>
      <c r="K207" s="394">
        <v>2006</v>
      </c>
      <c r="L207" s="145">
        <v>387.9</v>
      </c>
      <c r="M207" s="151">
        <v>0</v>
      </c>
      <c r="N207" s="151">
        <v>0</v>
      </c>
      <c r="O207" s="145">
        <f t="shared" si="6"/>
        <v>387.9</v>
      </c>
    </row>
    <row r="208" spans="1:15" s="80" customFormat="1" ht="30" customHeight="1">
      <c r="A208" s="1075" t="s">
        <v>280</v>
      </c>
      <c r="B208" s="1076"/>
      <c r="C208" s="275"/>
      <c r="D208" s="22"/>
      <c r="E208" s="22"/>
      <c r="F208" s="22"/>
      <c r="G208" s="22"/>
      <c r="H208" s="250"/>
      <c r="I208" s="22"/>
      <c r="J208" s="246"/>
      <c r="K208" s="22"/>
      <c r="L208" s="145">
        <v>0</v>
      </c>
      <c r="M208" s="151">
        <v>0</v>
      </c>
      <c r="N208" s="151">
        <v>380</v>
      </c>
      <c r="O208" s="145">
        <f t="shared" si="6"/>
        <v>380</v>
      </c>
    </row>
    <row r="209" spans="1:15" s="161" customFormat="1" ht="15" customHeight="1">
      <c r="A209" s="1066" t="s">
        <v>478</v>
      </c>
      <c r="B209" s="1067"/>
      <c r="C209" s="159"/>
      <c r="D209" s="108">
        <f>SUM(D166:D208)</f>
        <v>42</v>
      </c>
      <c r="E209" s="108">
        <f>SUM(E166:E208)</f>
        <v>25</v>
      </c>
      <c r="F209" s="108">
        <f>SUM(F166:F208)</f>
        <v>17</v>
      </c>
      <c r="G209" s="108">
        <f>SUM(G166:G208)</f>
        <v>12</v>
      </c>
      <c r="H209" s="108">
        <f>SUM(H166:H208)</f>
        <v>30</v>
      </c>
      <c r="I209" s="272"/>
      <c r="J209" s="259"/>
      <c r="K209" s="109"/>
      <c r="L209" s="149">
        <f>SUM(L166:L207)</f>
        <v>16077.289999999999</v>
      </c>
      <c r="M209" s="149">
        <f>SUM(M166:M208)</f>
        <v>6765</v>
      </c>
      <c r="N209" s="149">
        <f>SUM(N166:N208)</f>
        <v>2950</v>
      </c>
      <c r="O209" s="149">
        <f>SUM(O166:O208)</f>
        <v>25792.29</v>
      </c>
    </row>
    <row r="210" spans="1:15" s="404" customFormat="1" ht="15" customHeight="1">
      <c r="A210" s="1064" t="s">
        <v>65</v>
      </c>
      <c r="B210" s="1068"/>
      <c r="C210" s="354"/>
      <c r="D210" s="19"/>
      <c r="E210" s="19"/>
      <c r="F210" s="19"/>
      <c r="G210" s="19"/>
      <c r="H210" s="251"/>
      <c r="I210" s="57"/>
      <c r="J210" s="72"/>
      <c r="K210" s="19"/>
      <c r="L210" s="160"/>
      <c r="M210" s="164"/>
      <c r="N210" s="164"/>
      <c r="O210" s="153"/>
    </row>
    <row r="211" spans="1:15" s="50" customFormat="1" ht="48" customHeight="1">
      <c r="A211" s="39" t="s">
        <v>332</v>
      </c>
      <c r="B211" s="39" t="s">
        <v>333</v>
      </c>
      <c r="C211" s="39" t="s">
        <v>213</v>
      </c>
      <c r="D211" s="115" t="s">
        <v>36</v>
      </c>
      <c r="E211" s="115" t="s">
        <v>73</v>
      </c>
      <c r="F211" s="115" t="s">
        <v>74</v>
      </c>
      <c r="G211" s="115" t="s">
        <v>37</v>
      </c>
      <c r="H211" s="268" t="s">
        <v>38</v>
      </c>
      <c r="I211" s="39" t="s">
        <v>15</v>
      </c>
      <c r="J211" s="115" t="s">
        <v>214</v>
      </c>
      <c r="K211" s="115" t="s">
        <v>39</v>
      </c>
      <c r="L211" s="130" t="s">
        <v>63</v>
      </c>
      <c r="M211" s="130" t="s">
        <v>149</v>
      </c>
      <c r="N211" s="130" t="s">
        <v>167</v>
      </c>
      <c r="O211" s="130" t="s">
        <v>58</v>
      </c>
    </row>
    <row r="212" spans="1:15" s="80" customFormat="1" ht="15" customHeight="1">
      <c r="A212" s="806"/>
      <c r="B212" s="807"/>
      <c r="C212" s="792"/>
      <c r="D212" s="22">
        <v>1</v>
      </c>
      <c r="E212" s="22">
        <v>1</v>
      </c>
      <c r="F212" s="22"/>
      <c r="G212" s="22"/>
      <c r="H212" s="250">
        <v>1</v>
      </c>
      <c r="I212" s="33" t="s">
        <v>212</v>
      </c>
      <c r="J212" s="222" t="s">
        <v>427</v>
      </c>
      <c r="K212" s="22">
        <v>2011</v>
      </c>
      <c r="L212" s="145">
        <v>600</v>
      </c>
      <c r="M212" s="151">
        <v>0</v>
      </c>
      <c r="N212" s="151">
        <v>0</v>
      </c>
      <c r="O212" s="145">
        <f aca="true" t="shared" si="7" ref="O212:O232">L212+M212+N212</f>
        <v>600</v>
      </c>
    </row>
    <row r="213" spans="1:15" ht="15" customHeight="1">
      <c r="A213" s="820"/>
      <c r="B213" s="820"/>
      <c r="C213" s="825"/>
      <c r="D213" s="15">
        <v>1</v>
      </c>
      <c r="E213" s="394">
        <v>1</v>
      </c>
      <c r="F213" s="394"/>
      <c r="G213" s="15"/>
      <c r="H213" s="270">
        <v>1</v>
      </c>
      <c r="I213" s="412" t="s">
        <v>212</v>
      </c>
      <c r="J213" s="405" t="s">
        <v>497</v>
      </c>
      <c r="K213" s="396">
        <v>2010</v>
      </c>
      <c r="L213" s="151">
        <v>212.31</v>
      </c>
      <c r="M213" s="151">
        <v>0</v>
      </c>
      <c r="N213" s="151">
        <v>195</v>
      </c>
      <c r="O213" s="145">
        <f t="shared" si="7"/>
        <v>407.31</v>
      </c>
    </row>
    <row r="214" spans="1:15" ht="15" customHeight="1">
      <c r="A214" s="822"/>
      <c r="B214" s="827"/>
      <c r="C214" s="801"/>
      <c r="D214" s="15">
        <v>1</v>
      </c>
      <c r="E214" s="15">
        <v>1</v>
      </c>
      <c r="F214" s="15"/>
      <c r="G214" s="15"/>
      <c r="H214" s="270">
        <v>1</v>
      </c>
      <c r="I214" s="413" t="s">
        <v>18</v>
      </c>
      <c r="J214" s="405" t="s">
        <v>18</v>
      </c>
      <c r="K214" s="396">
        <v>1997</v>
      </c>
      <c r="L214" s="151">
        <v>400</v>
      </c>
      <c r="M214" s="151">
        <v>0</v>
      </c>
      <c r="N214" s="151">
        <v>0</v>
      </c>
      <c r="O214" s="145">
        <f t="shared" si="7"/>
        <v>400</v>
      </c>
    </row>
    <row r="215" spans="1:15" ht="15" customHeight="1">
      <c r="A215" s="820"/>
      <c r="B215" s="826"/>
      <c r="C215" s="801"/>
      <c r="D215" s="15">
        <v>1</v>
      </c>
      <c r="E215" s="416">
        <v>1</v>
      </c>
      <c r="F215" s="394"/>
      <c r="G215" s="15">
        <v>1</v>
      </c>
      <c r="H215" s="270"/>
      <c r="I215" s="396" t="s">
        <v>212</v>
      </c>
      <c r="J215" s="405" t="s">
        <v>212</v>
      </c>
      <c r="K215" s="396">
        <v>2011</v>
      </c>
      <c r="L215" s="151">
        <v>0</v>
      </c>
      <c r="M215" s="151">
        <v>999</v>
      </c>
      <c r="N215" s="151">
        <v>0</v>
      </c>
      <c r="O215" s="145">
        <f t="shared" si="7"/>
        <v>999</v>
      </c>
    </row>
    <row r="216" spans="1:15" ht="15" customHeight="1">
      <c r="A216" s="806"/>
      <c r="B216" s="803"/>
      <c r="C216" s="828"/>
      <c r="D216" s="15">
        <v>1</v>
      </c>
      <c r="E216" s="22">
        <v>1</v>
      </c>
      <c r="F216" s="15"/>
      <c r="G216" s="15">
        <v>1</v>
      </c>
      <c r="H216" s="270"/>
      <c r="I216" s="15" t="s">
        <v>212</v>
      </c>
      <c r="J216" s="222" t="s">
        <v>212</v>
      </c>
      <c r="K216" s="15">
        <v>2009</v>
      </c>
      <c r="L216" s="151">
        <v>709.42</v>
      </c>
      <c r="M216" s="151">
        <v>500</v>
      </c>
      <c r="N216" s="151">
        <v>0</v>
      </c>
      <c r="O216" s="145">
        <f t="shared" si="7"/>
        <v>1209.42</v>
      </c>
    </row>
    <row r="217" spans="1:15" ht="15" customHeight="1">
      <c r="A217" s="820"/>
      <c r="B217" s="820"/>
      <c r="C217" s="825"/>
      <c r="D217" s="15">
        <v>1</v>
      </c>
      <c r="E217" s="394"/>
      <c r="F217" s="394">
        <v>1</v>
      </c>
      <c r="G217" s="15">
        <v>1</v>
      </c>
      <c r="H217" s="270"/>
      <c r="I217" s="394" t="s">
        <v>212</v>
      </c>
      <c r="J217" s="405" t="s">
        <v>212</v>
      </c>
      <c r="K217" s="394">
        <v>1997</v>
      </c>
      <c r="L217" s="151">
        <v>0</v>
      </c>
      <c r="M217" s="151">
        <v>0</v>
      </c>
      <c r="N217" s="151">
        <v>166</v>
      </c>
      <c r="O217" s="145">
        <f t="shared" si="7"/>
        <v>166</v>
      </c>
    </row>
    <row r="218" spans="1:15" ht="15" customHeight="1">
      <c r="A218" s="820"/>
      <c r="B218" s="820"/>
      <c r="C218" s="825"/>
      <c r="D218" s="15">
        <v>1</v>
      </c>
      <c r="E218" s="394">
        <v>1</v>
      </c>
      <c r="F218" s="406"/>
      <c r="G218" s="15">
        <v>1</v>
      </c>
      <c r="H218" s="270"/>
      <c r="I218" s="394" t="s">
        <v>212</v>
      </c>
      <c r="J218" s="405" t="s">
        <v>212</v>
      </c>
      <c r="K218" s="394">
        <v>2002</v>
      </c>
      <c r="L218" s="151">
        <v>284.82</v>
      </c>
      <c r="M218" s="151">
        <v>0</v>
      </c>
      <c r="N218" s="151">
        <v>0</v>
      </c>
      <c r="O218" s="145">
        <f t="shared" si="7"/>
        <v>284.82</v>
      </c>
    </row>
    <row r="219" spans="1:15" ht="15" customHeight="1">
      <c r="A219" s="820"/>
      <c r="B219" s="820"/>
      <c r="C219" s="825"/>
      <c r="D219" s="15">
        <v>1</v>
      </c>
      <c r="E219" s="394"/>
      <c r="F219" s="394">
        <v>1</v>
      </c>
      <c r="G219" s="15">
        <v>1</v>
      </c>
      <c r="H219" s="270"/>
      <c r="I219" s="413" t="s">
        <v>217</v>
      </c>
      <c r="J219" s="405" t="s">
        <v>212</v>
      </c>
      <c r="K219" s="396">
        <v>2006</v>
      </c>
      <c r="L219" s="151">
        <f>1885.83+3234.57</f>
        <v>5120.4</v>
      </c>
      <c r="M219" s="151">
        <v>0</v>
      </c>
      <c r="N219" s="151">
        <v>0</v>
      </c>
      <c r="O219" s="145">
        <f t="shared" si="7"/>
        <v>5120.4</v>
      </c>
    </row>
    <row r="220" spans="1:15" ht="15" customHeight="1">
      <c r="A220" s="820"/>
      <c r="B220" s="820"/>
      <c r="C220" s="825"/>
      <c r="D220" s="15">
        <v>1</v>
      </c>
      <c r="E220" s="394">
        <v>1</v>
      </c>
      <c r="F220" s="394"/>
      <c r="G220" s="15"/>
      <c r="H220" s="270">
        <v>1</v>
      </c>
      <c r="I220" s="405" t="s">
        <v>343</v>
      </c>
      <c r="J220" s="405" t="s">
        <v>343</v>
      </c>
      <c r="K220" s="396">
        <v>1996</v>
      </c>
      <c r="L220" s="151">
        <f>213.8+600</f>
        <v>813.8</v>
      </c>
      <c r="M220" s="151">
        <v>0</v>
      </c>
      <c r="N220" s="151">
        <v>0</v>
      </c>
      <c r="O220" s="145">
        <f t="shared" si="7"/>
        <v>813.8</v>
      </c>
    </row>
    <row r="221" spans="1:15" ht="15" customHeight="1">
      <c r="A221" s="820"/>
      <c r="B221" s="820"/>
      <c r="C221" s="825"/>
      <c r="D221" s="15">
        <v>1</v>
      </c>
      <c r="E221" s="406"/>
      <c r="F221" s="406">
        <v>1</v>
      </c>
      <c r="G221" s="15"/>
      <c r="H221" s="270">
        <v>1</v>
      </c>
      <c r="I221" s="413" t="s">
        <v>218</v>
      </c>
      <c r="J221" s="405" t="s">
        <v>218</v>
      </c>
      <c r="K221" s="396">
        <v>2003</v>
      </c>
      <c r="L221" s="151">
        <v>0</v>
      </c>
      <c r="M221" s="151">
        <v>0</v>
      </c>
      <c r="N221" s="151">
        <v>0</v>
      </c>
      <c r="O221" s="145">
        <f t="shared" si="7"/>
        <v>0</v>
      </c>
    </row>
    <row r="222" spans="1:15" ht="15" customHeight="1">
      <c r="A222" s="820"/>
      <c r="B222" s="820"/>
      <c r="C222" s="824"/>
      <c r="D222" s="15">
        <v>1</v>
      </c>
      <c r="E222" s="409"/>
      <c r="F222" s="409">
        <v>1</v>
      </c>
      <c r="G222" s="15">
        <v>1</v>
      </c>
      <c r="H222" s="270"/>
      <c r="I222" s="418" t="s">
        <v>212</v>
      </c>
      <c r="J222" s="419" t="s">
        <v>212</v>
      </c>
      <c r="K222" s="396">
        <v>2012</v>
      </c>
      <c r="L222" s="151">
        <f>300+261.95</f>
        <v>561.95</v>
      </c>
      <c r="M222" s="151">
        <v>0</v>
      </c>
      <c r="N222" s="151">
        <v>0</v>
      </c>
      <c r="O222" s="145">
        <f t="shared" si="7"/>
        <v>561.95</v>
      </c>
    </row>
    <row r="223" spans="1:15" ht="15" customHeight="1">
      <c r="A223" s="820"/>
      <c r="B223" s="820"/>
      <c r="C223" s="825"/>
      <c r="D223" s="15">
        <v>1</v>
      </c>
      <c r="E223" s="394"/>
      <c r="F223" s="394">
        <v>1</v>
      </c>
      <c r="G223" s="15"/>
      <c r="H223" s="270">
        <v>1</v>
      </c>
      <c r="I223" s="405" t="s">
        <v>477</v>
      </c>
      <c r="J223" s="405" t="s">
        <v>477</v>
      </c>
      <c r="K223" s="396">
        <v>1994</v>
      </c>
      <c r="L223" s="151">
        <v>0</v>
      </c>
      <c r="M223" s="151">
        <v>0</v>
      </c>
      <c r="N223" s="151">
        <v>300</v>
      </c>
      <c r="O223" s="145">
        <f t="shared" si="7"/>
        <v>300</v>
      </c>
    </row>
    <row r="224" spans="1:15" ht="15" customHeight="1">
      <c r="A224" s="820"/>
      <c r="B224" s="820"/>
      <c r="C224" s="825"/>
      <c r="D224" s="15">
        <v>1</v>
      </c>
      <c r="E224" s="394"/>
      <c r="F224" s="394">
        <v>1</v>
      </c>
      <c r="G224" s="15"/>
      <c r="H224" s="270">
        <v>1</v>
      </c>
      <c r="I224" s="412" t="s">
        <v>212</v>
      </c>
      <c r="J224" s="405" t="s">
        <v>18</v>
      </c>
      <c r="K224" s="396">
        <v>2001</v>
      </c>
      <c r="L224" s="151">
        <v>0</v>
      </c>
      <c r="M224" s="151">
        <v>0</v>
      </c>
      <c r="N224" s="151">
        <v>250</v>
      </c>
      <c r="O224" s="145">
        <f t="shared" si="7"/>
        <v>250</v>
      </c>
    </row>
    <row r="225" spans="1:15" ht="15" customHeight="1">
      <c r="A225" s="820"/>
      <c r="B225" s="820"/>
      <c r="C225" s="825"/>
      <c r="D225" s="15">
        <v>1</v>
      </c>
      <c r="E225" s="394"/>
      <c r="F225" s="394">
        <v>1</v>
      </c>
      <c r="G225" s="15"/>
      <c r="H225" s="270">
        <v>1</v>
      </c>
      <c r="I225" s="405" t="s">
        <v>212</v>
      </c>
      <c r="J225" s="405" t="s">
        <v>18</v>
      </c>
      <c r="K225" s="396">
        <v>1997</v>
      </c>
      <c r="L225" s="151">
        <v>0</v>
      </c>
      <c r="M225" s="151">
        <v>0</v>
      </c>
      <c r="N225" s="151">
        <v>400</v>
      </c>
      <c r="O225" s="145">
        <f t="shared" si="7"/>
        <v>400</v>
      </c>
    </row>
    <row r="226" spans="1:15" ht="15" customHeight="1">
      <c r="A226" s="820"/>
      <c r="B226" s="820"/>
      <c r="C226" s="825"/>
      <c r="D226" s="15">
        <v>1</v>
      </c>
      <c r="E226" s="15"/>
      <c r="F226" s="15">
        <v>1</v>
      </c>
      <c r="G226" s="15">
        <v>1</v>
      </c>
      <c r="H226" s="270"/>
      <c r="I226" s="412" t="s">
        <v>212</v>
      </c>
      <c r="J226" s="405" t="s">
        <v>219</v>
      </c>
      <c r="K226" s="396">
        <v>1996</v>
      </c>
      <c r="L226" s="151">
        <v>873.13</v>
      </c>
      <c r="M226" s="151">
        <v>0</v>
      </c>
      <c r="N226" s="151">
        <v>0</v>
      </c>
      <c r="O226" s="145">
        <f t="shared" si="7"/>
        <v>873.13</v>
      </c>
    </row>
    <row r="227" spans="1:15" ht="15" customHeight="1">
      <c r="A227" s="820"/>
      <c r="B227" s="820"/>
      <c r="C227" s="825"/>
      <c r="D227" s="15">
        <v>1</v>
      </c>
      <c r="E227" s="15"/>
      <c r="F227" s="15">
        <v>1</v>
      </c>
      <c r="G227" s="15">
        <v>1</v>
      </c>
      <c r="H227" s="270"/>
      <c r="I227" s="412" t="s">
        <v>212</v>
      </c>
      <c r="J227" s="222" t="s">
        <v>212</v>
      </c>
      <c r="K227" s="15">
        <v>2008</v>
      </c>
      <c r="L227" s="151">
        <v>2400</v>
      </c>
      <c r="M227" s="151">
        <v>0</v>
      </c>
      <c r="N227" s="151">
        <v>0</v>
      </c>
      <c r="O227" s="145">
        <f t="shared" si="7"/>
        <v>2400</v>
      </c>
    </row>
    <row r="228" spans="1:15" ht="15" customHeight="1">
      <c r="A228" s="820"/>
      <c r="B228" s="820"/>
      <c r="C228" s="825"/>
      <c r="D228" s="15">
        <v>1</v>
      </c>
      <c r="E228" s="394">
        <v>1</v>
      </c>
      <c r="F228" s="394"/>
      <c r="G228" s="15">
        <v>1</v>
      </c>
      <c r="H228" s="270"/>
      <c r="I228" s="412" t="s">
        <v>212</v>
      </c>
      <c r="J228" s="222" t="s">
        <v>212</v>
      </c>
      <c r="K228" s="15">
        <v>2002</v>
      </c>
      <c r="L228" s="151">
        <v>0</v>
      </c>
      <c r="M228" s="151">
        <v>450</v>
      </c>
      <c r="N228" s="151">
        <v>400</v>
      </c>
      <c r="O228" s="145">
        <f t="shared" si="7"/>
        <v>850</v>
      </c>
    </row>
    <row r="229" spans="1:15" ht="15" customHeight="1">
      <c r="A229" s="820"/>
      <c r="B229" s="820"/>
      <c r="C229" s="825"/>
      <c r="D229" s="15">
        <v>1</v>
      </c>
      <c r="E229" s="394"/>
      <c r="F229" s="394">
        <v>1</v>
      </c>
      <c r="G229" s="15"/>
      <c r="H229" s="270">
        <v>1</v>
      </c>
      <c r="I229" s="412" t="s">
        <v>212</v>
      </c>
      <c r="J229" s="405" t="s">
        <v>18</v>
      </c>
      <c r="K229" s="396">
        <v>2006</v>
      </c>
      <c r="L229" s="151">
        <v>162.54</v>
      </c>
      <c r="M229" s="151">
        <v>0</v>
      </c>
      <c r="N229" s="151">
        <v>0</v>
      </c>
      <c r="O229" s="145">
        <f t="shared" si="7"/>
        <v>162.54</v>
      </c>
    </row>
    <row r="230" spans="1:15" ht="15" customHeight="1">
      <c r="A230" s="822"/>
      <c r="B230" s="822"/>
      <c r="C230" s="825"/>
      <c r="D230" s="15">
        <v>1</v>
      </c>
      <c r="E230" s="394"/>
      <c r="F230" s="394">
        <v>1</v>
      </c>
      <c r="G230" s="15"/>
      <c r="H230" s="271">
        <v>1</v>
      </c>
      <c r="I230" s="413" t="s">
        <v>212</v>
      </c>
      <c r="J230" s="405" t="s">
        <v>18</v>
      </c>
      <c r="K230" s="396">
        <v>2009</v>
      </c>
      <c r="L230" s="151">
        <v>0</v>
      </c>
      <c r="M230" s="151">
        <v>374.4</v>
      </c>
      <c r="N230" s="151">
        <v>0</v>
      </c>
      <c r="O230" s="145">
        <f t="shared" si="7"/>
        <v>374.4</v>
      </c>
    </row>
    <row r="231" spans="1:15" ht="15" customHeight="1">
      <c r="A231" s="820"/>
      <c r="B231" s="820"/>
      <c r="C231" s="825"/>
      <c r="D231" s="15">
        <v>1</v>
      </c>
      <c r="E231" s="15">
        <v>1</v>
      </c>
      <c r="F231" s="15"/>
      <c r="G231" s="15">
        <v>1</v>
      </c>
      <c r="H231" s="78"/>
      <c r="I231" s="396" t="s">
        <v>212</v>
      </c>
      <c r="J231" s="405" t="s">
        <v>212</v>
      </c>
      <c r="K231" s="396">
        <v>1999</v>
      </c>
      <c r="L231" s="151">
        <v>830</v>
      </c>
      <c r="M231" s="151">
        <v>0</v>
      </c>
      <c r="N231" s="151">
        <v>0</v>
      </c>
      <c r="O231" s="145">
        <f t="shared" si="7"/>
        <v>830</v>
      </c>
    </row>
    <row r="232" spans="1:15" ht="15" customHeight="1">
      <c r="A232" s="791"/>
      <c r="B232" s="791"/>
      <c r="C232" s="792"/>
      <c r="D232" s="15">
        <v>1</v>
      </c>
      <c r="E232" s="22"/>
      <c r="F232" s="22">
        <v>1</v>
      </c>
      <c r="G232" s="15"/>
      <c r="H232" s="78">
        <v>1</v>
      </c>
      <c r="I232" s="15" t="s">
        <v>16</v>
      </c>
      <c r="J232" s="222" t="s">
        <v>16</v>
      </c>
      <c r="K232" s="15">
        <v>2002</v>
      </c>
      <c r="L232" s="151">
        <v>300</v>
      </c>
      <c r="M232" s="151">
        <v>0</v>
      </c>
      <c r="N232" s="151">
        <v>0</v>
      </c>
      <c r="O232" s="145">
        <f t="shared" si="7"/>
        <v>300</v>
      </c>
    </row>
    <row r="233" spans="1:17" s="169" customFormat="1" ht="15" customHeight="1">
      <c r="A233" s="1073" t="s">
        <v>340</v>
      </c>
      <c r="B233" s="1074"/>
      <c r="C233" s="159"/>
      <c r="D233" s="107">
        <f>SUM(D212:D232)</f>
        <v>21</v>
      </c>
      <c r="E233" s="107">
        <f>SUM(E212:E232)</f>
        <v>9</v>
      </c>
      <c r="F233" s="107">
        <f>SUM(F212:F232)</f>
        <v>12</v>
      </c>
      <c r="G233" s="107">
        <f>SUM(G212:G232)</f>
        <v>10</v>
      </c>
      <c r="H233" s="107">
        <f>SUM(H212:H232)</f>
        <v>11</v>
      </c>
      <c r="I233" s="107"/>
      <c r="J233" s="259"/>
      <c r="K233" s="107"/>
      <c r="L233" s="149">
        <f>SUM(L212:L232)</f>
        <v>13268.37</v>
      </c>
      <c r="M233" s="149">
        <f>SUM(M213:M232)</f>
        <v>2323.4</v>
      </c>
      <c r="N233" s="149">
        <f>SUM(N213:N232)</f>
        <v>1711</v>
      </c>
      <c r="O233" s="149">
        <f>SUM(O212:O232)</f>
        <v>17302.77</v>
      </c>
      <c r="P233" s="391"/>
      <c r="Q233" s="391"/>
    </row>
    <row r="234" spans="1:15" s="404" customFormat="1" ht="15" customHeight="1">
      <c r="A234" s="1079" t="s">
        <v>69</v>
      </c>
      <c r="B234" s="1080"/>
      <c r="C234" s="356"/>
      <c r="D234" s="19"/>
      <c r="E234" s="19"/>
      <c r="F234" s="19"/>
      <c r="G234" s="19"/>
      <c r="H234" s="254"/>
      <c r="I234" s="219"/>
      <c r="J234" s="260"/>
      <c r="K234" s="19"/>
      <c r="L234" s="160"/>
      <c r="M234" s="164"/>
      <c r="N234" s="164"/>
      <c r="O234" s="153"/>
    </row>
    <row r="235" spans="1:15" s="50" customFormat="1" ht="48" customHeight="1">
      <c r="A235" s="39" t="s">
        <v>332</v>
      </c>
      <c r="B235" s="39" t="s">
        <v>333</v>
      </c>
      <c r="C235" s="39" t="s">
        <v>213</v>
      </c>
      <c r="D235" s="115" t="s">
        <v>36</v>
      </c>
      <c r="E235" s="115" t="s">
        <v>73</v>
      </c>
      <c r="F235" s="115" t="s">
        <v>74</v>
      </c>
      <c r="G235" s="115" t="s">
        <v>37</v>
      </c>
      <c r="H235" s="268" t="s">
        <v>38</v>
      </c>
      <c r="I235" s="39" t="s">
        <v>15</v>
      </c>
      <c r="J235" s="115" t="s">
        <v>214</v>
      </c>
      <c r="K235" s="115" t="s">
        <v>39</v>
      </c>
      <c r="L235" s="130" t="s">
        <v>63</v>
      </c>
      <c r="M235" s="130" t="s">
        <v>149</v>
      </c>
      <c r="N235" s="130" t="s">
        <v>167</v>
      </c>
      <c r="O235" s="130" t="s">
        <v>58</v>
      </c>
    </row>
    <row r="236" spans="1:15" s="63" customFormat="1" ht="15" customHeight="1">
      <c r="A236" s="822"/>
      <c r="B236" s="822"/>
      <c r="C236" s="825"/>
      <c r="D236" s="21">
        <v>1</v>
      </c>
      <c r="E236" s="393">
        <v>1</v>
      </c>
      <c r="F236" s="393"/>
      <c r="G236" s="21"/>
      <c r="H236" s="78">
        <v>1</v>
      </c>
      <c r="I236" s="396" t="s">
        <v>212</v>
      </c>
      <c r="J236" s="405" t="s">
        <v>19</v>
      </c>
      <c r="K236" s="393">
        <v>2006</v>
      </c>
      <c r="L236" s="143">
        <v>0</v>
      </c>
      <c r="M236" s="145">
        <v>375</v>
      </c>
      <c r="N236" s="145">
        <v>0</v>
      </c>
      <c r="O236" s="145">
        <f aca="true" t="shared" si="8" ref="O236:O243">L236+M236+N236</f>
        <v>375</v>
      </c>
    </row>
    <row r="237" spans="1:15" s="80" customFormat="1" ht="15" customHeight="1">
      <c r="A237" s="793"/>
      <c r="B237" s="793"/>
      <c r="C237" s="829"/>
      <c r="D237" s="22">
        <v>1</v>
      </c>
      <c r="E237" s="394"/>
      <c r="F237" s="394">
        <v>1</v>
      </c>
      <c r="G237" s="22"/>
      <c r="H237" s="250">
        <v>1</v>
      </c>
      <c r="I237" s="395" t="s">
        <v>18</v>
      </c>
      <c r="J237" s="405" t="s">
        <v>18</v>
      </c>
      <c r="K237" s="394">
        <v>2005</v>
      </c>
      <c r="L237" s="145">
        <v>200</v>
      </c>
      <c r="M237" s="151">
        <v>0</v>
      </c>
      <c r="N237" s="145">
        <v>0</v>
      </c>
      <c r="O237" s="145">
        <f t="shared" si="8"/>
        <v>200</v>
      </c>
    </row>
    <row r="238" spans="1:15" s="80" customFormat="1" ht="15" customHeight="1">
      <c r="A238" s="793"/>
      <c r="B238" s="793"/>
      <c r="C238" s="829"/>
      <c r="D238" s="22">
        <v>1</v>
      </c>
      <c r="E238" s="394"/>
      <c r="F238" s="394">
        <v>1</v>
      </c>
      <c r="G238" s="22"/>
      <c r="H238" s="250">
        <v>1</v>
      </c>
      <c r="I238" s="407" t="s">
        <v>212</v>
      </c>
      <c r="J238" s="408" t="s">
        <v>19</v>
      </c>
      <c r="K238" s="394">
        <v>2012</v>
      </c>
      <c r="L238" s="145">
        <f>200</f>
        <v>200</v>
      </c>
      <c r="M238" s="151">
        <v>0</v>
      </c>
      <c r="N238" s="145">
        <v>0</v>
      </c>
      <c r="O238" s="145">
        <f t="shared" si="8"/>
        <v>200</v>
      </c>
    </row>
    <row r="239" spans="1:15" s="80" customFormat="1" ht="15" customHeight="1">
      <c r="A239" s="830"/>
      <c r="B239" s="830"/>
      <c r="C239" s="825"/>
      <c r="D239" s="22">
        <v>1</v>
      </c>
      <c r="E239" s="394">
        <v>1</v>
      </c>
      <c r="F239" s="394"/>
      <c r="G239" s="22"/>
      <c r="H239" s="250">
        <v>1</v>
      </c>
      <c r="I239" s="407" t="s">
        <v>212</v>
      </c>
      <c r="J239" s="408" t="s">
        <v>19</v>
      </c>
      <c r="K239" s="394">
        <v>2012</v>
      </c>
      <c r="L239" s="145">
        <f>280+1330.39</f>
        <v>1610.39</v>
      </c>
      <c r="M239" s="151">
        <v>450</v>
      </c>
      <c r="N239" s="145">
        <v>0</v>
      </c>
      <c r="O239" s="145">
        <f t="shared" si="8"/>
        <v>2060.3900000000003</v>
      </c>
    </row>
    <row r="240" spans="1:15" s="80" customFormat="1" ht="15" customHeight="1">
      <c r="A240" s="806"/>
      <c r="B240" s="806"/>
      <c r="C240" s="792"/>
      <c r="D240" s="22">
        <v>1</v>
      </c>
      <c r="E240" s="22"/>
      <c r="F240" s="22">
        <v>1</v>
      </c>
      <c r="G240" s="22"/>
      <c r="H240" s="250">
        <v>1</v>
      </c>
      <c r="I240" s="33" t="s">
        <v>212</v>
      </c>
      <c r="J240" s="222" t="s">
        <v>20</v>
      </c>
      <c r="K240" s="22">
        <v>2009</v>
      </c>
      <c r="L240" s="145">
        <v>238</v>
      </c>
      <c r="M240" s="151">
        <v>0</v>
      </c>
      <c r="N240" s="145">
        <v>0</v>
      </c>
      <c r="O240" s="145">
        <f t="shared" si="8"/>
        <v>238</v>
      </c>
    </row>
    <row r="241" spans="1:15" s="80" customFormat="1" ht="15" customHeight="1">
      <c r="A241" s="820"/>
      <c r="B241" s="820"/>
      <c r="C241" s="825"/>
      <c r="D241" s="22">
        <v>1</v>
      </c>
      <c r="E241" s="22"/>
      <c r="F241" s="22">
        <v>1</v>
      </c>
      <c r="G241" s="22"/>
      <c r="H241" s="250">
        <v>1</v>
      </c>
      <c r="I241" s="395" t="s">
        <v>212</v>
      </c>
      <c r="J241" s="405" t="s">
        <v>327</v>
      </c>
      <c r="K241" s="394">
        <v>2009</v>
      </c>
      <c r="L241" s="145">
        <v>334.06</v>
      </c>
      <c r="M241" s="151">
        <v>0</v>
      </c>
      <c r="N241" s="145">
        <v>0</v>
      </c>
      <c r="O241" s="145">
        <f t="shared" si="8"/>
        <v>334.06</v>
      </c>
    </row>
    <row r="242" spans="1:15" s="80" customFormat="1" ht="15" customHeight="1">
      <c r="A242" s="820"/>
      <c r="B242" s="820"/>
      <c r="C242" s="825"/>
      <c r="D242" s="22">
        <v>1</v>
      </c>
      <c r="E242" s="22"/>
      <c r="F242" s="22">
        <v>1</v>
      </c>
      <c r="G242" s="22"/>
      <c r="H242" s="250">
        <v>1</v>
      </c>
      <c r="I242" s="395" t="s">
        <v>212</v>
      </c>
      <c r="J242" s="405" t="s">
        <v>18</v>
      </c>
      <c r="K242" s="394">
        <v>2009</v>
      </c>
      <c r="L242" s="145">
        <v>144.6</v>
      </c>
      <c r="M242" s="151">
        <v>0</v>
      </c>
      <c r="N242" s="145">
        <v>0</v>
      </c>
      <c r="O242" s="145">
        <f t="shared" si="8"/>
        <v>144.6</v>
      </c>
    </row>
    <row r="243" spans="1:15" s="80" customFormat="1" ht="15" customHeight="1">
      <c r="A243" s="806"/>
      <c r="B243" s="806"/>
      <c r="C243" s="792"/>
      <c r="D243" s="22">
        <v>1</v>
      </c>
      <c r="E243" s="22">
        <v>1</v>
      </c>
      <c r="F243" s="22"/>
      <c r="G243" s="22">
        <v>1</v>
      </c>
      <c r="H243" s="250"/>
      <c r="I243" s="407" t="s">
        <v>212</v>
      </c>
      <c r="J243" s="222" t="s">
        <v>212</v>
      </c>
      <c r="K243" s="22">
        <v>1997</v>
      </c>
      <c r="L243" s="145">
        <v>265</v>
      </c>
      <c r="M243" s="151">
        <v>0</v>
      </c>
      <c r="N243" s="145">
        <v>0</v>
      </c>
      <c r="O243" s="145">
        <f t="shared" si="8"/>
        <v>265</v>
      </c>
    </row>
    <row r="244" spans="1:15" s="161" customFormat="1" ht="15" customHeight="1">
      <c r="A244" s="1066" t="s">
        <v>13</v>
      </c>
      <c r="B244" s="1067"/>
      <c r="C244" s="355"/>
      <c r="D244" s="108">
        <f>SUM(D236:D243)</f>
        <v>8</v>
      </c>
      <c r="E244" s="108">
        <f>SUM(E236:E243)</f>
        <v>3</v>
      </c>
      <c r="F244" s="108">
        <f>SUM(F236:F243)</f>
        <v>5</v>
      </c>
      <c r="G244" s="108">
        <f>SUM(G236:G243)</f>
        <v>1</v>
      </c>
      <c r="H244" s="108">
        <f>SUM(H236:H243)</f>
        <v>7</v>
      </c>
      <c r="I244" s="109"/>
      <c r="J244" s="259"/>
      <c r="K244" s="109"/>
      <c r="L244" s="149">
        <f>SUM(L236:L243)</f>
        <v>2992.05</v>
      </c>
      <c r="M244" s="149">
        <f>SUM(M236:M243)</f>
        <v>825</v>
      </c>
      <c r="N244" s="149">
        <f>SUM(N236:N243)</f>
        <v>0</v>
      </c>
      <c r="O244" s="149">
        <f>SUM(O236:O243)</f>
        <v>3817.05</v>
      </c>
    </row>
    <row r="245" spans="1:15" s="404" customFormat="1" ht="15" customHeight="1">
      <c r="A245" s="1064" t="s">
        <v>70</v>
      </c>
      <c r="B245" s="1068"/>
      <c r="C245" s="356"/>
      <c r="D245" s="19"/>
      <c r="E245" s="19"/>
      <c r="F245" s="19"/>
      <c r="G245" s="19"/>
      <c r="H245" s="251"/>
      <c r="I245" s="31"/>
      <c r="J245" s="260"/>
      <c r="K245" s="19"/>
      <c r="L245" s="160"/>
      <c r="M245" s="164"/>
      <c r="N245" s="164"/>
      <c r="O245" s="153"/>
    </row>
    <row r="246" spans="1:15" s="50" customFormat="1" ht="48" customHeight="1">
      <c r="A246" s="39" t="s">
        <v>332</v>
      </c>
      <c r="B246" s="39" t="s">
        <v>333</v>
      </c>
      <c r="C246" s="39" t="s">
        <v>213</v>
      </c>
      <c r="D246" s="115" t="s">
        <v>36</v>
      </c>
      <c r="E246" s="115" t="s">
        <v>73</v>
      </c>
      <c r="F246" s="115" t="s">
        <v>74</v>
      </c>
      <c r="G246" s="115" t="s">
        <v>37</v>
      </c>
      <c r="H246" s="268" t="s">
        <v>38</v>
      </c>
      <c r="I246" s="39" t="s">
        <v>15</v>
      </c>
      <c r="J246" s="115" t="s">
        <v>214</v>
      </c>
      <c r="K246" s="115" t="s">
        <v>39</v>
      </c>
      <c r="L246" s="130" t="s">
        <v>63</v>
      </c>
      <c r="M246" s="130" t="s">
        <v>149</v>
      </c>
      <c r="N246" s="130" t="s">
        <v>167</v>
      </c>
      <c r="O246" s="130" t="s">
        <v>58</v>
      </c>
    </row>
    <row r="247" spans="1:15" s="63" customFormat="1" ht="15" customHeight="1">
      <c r="A247" s="806"/>
      <c r="B247" s="806"/>
      <c r="C247" s="792"/>
      <c r="D247" s="15">
        <v>1</v>
      </c>
      <c r="E247" s="22"/>
      <c r="F247" s="77">
        <v>1</v>
      </c>
      <c r="G247" s="253"/>
      <c r="H247" s="22">
        <v>1</v>
      </c>
      <c r="I247" s="617" t="s">
        <v>31</v>
      </c>
      <c r="J247" s="222" t="s">
        <v>31</v>
      </c>
      <c r="K247" s="78">
        <v>1997</v>
      </c>
      <c r="L247" s="151">
        <v>540</v>
      </c>
      <c r="M247" s="151">
        <v>0</v>
      </c>
      <c r="N247" s="151">
        <v>0</v>
      </c>
      <c r="O247" s="145">
        <f aca="true" t="shared" si="9" ref="O247:O283">L247+M247+N247</f>
        <v>540</v>
      </c>
    </row>
    <row r="248" spans="1:15" s="63" customFormat="1" ht="15" customHeight="1">
      <c r="A248" s="806"/>
      <c r="B248" s="806"/>
      <c r="C248" s="792"/>
      <c r="D248" s="15">
        <v>1</v>
      </c>
      <c r="E248" s="22"/>
      <c r="F248" s="77">
        <v>1</v>
      </c>
      <c r="G248" s="253"/>
      <c r="H248" s="22">
        <v>1</v>
      </c>
      <c r="I248" s="234" t="s">
        <v>212</v>
      </c>
      <c r="J248" s="222" t="s">
        <v>18</v>
      </c>
      <c r="K248" s="78">
        <v>2009</v>
      </c>
      <c r="L248" s="151">
        <v>400</v>
      </c>
      <c r="M248" s="151">
        <v>0</v>
      </c>
      <c r="N248" s="151">
        <v>0</v>
      </c>
      <c r="O248" s="145">
        <f t="shared" si="9"/>
        <v>400</v>
      </c>
    </row>
    <row r="249" spans="1:15" s="63" customFormat="1" ht="15" customHeight="1">
      <c r="A249" s="806"/>
      <c r="B249" s="806"/>
      <c r="C249" s="792"/>
      <c r="D249" s="21">
        <v>1</v>
      </c>
      <c r="E249" s="21">
        <v>1</v>
      </c>
      <c r="F249" s="75"/>
      <c r="G249" s="410"/>
      <c r="H249" s="21">
        <v>1</v>
      </c>
      <c r="I249" s="234" t="s">
        <v>212</v>
      </c>
      <c r="J249" s="222" t="s">
        <v>427</v>
      </c>
      <c r="K249" s="75">
        <v>2005</v>
      </c>
      <c r="L249" s="143">
        <v>130</v>
      </c>
      <c r="M249" s="151">
        <v>0</v>
      </c>
      <c r="N249" s="151">
        <v>0</v>
      </c>
      <c r="O249" s="145">
        <f t="shared" si="9"/>
        <v>130</v>
      </c>
    </row>
    <row r="250" spans="1:15" s="80" customFormat="1" ht="15" customHeight="1">
      <c r="A250" s="806"/>
      <c r="B250" s="806"/>
      <c r="C250" s="792"/>
      <c r="D250" s="21">
        <v>1</v>
      </c>
      <c r="E250" s="21"/>
      <c r="F250" s="75">
        <v>1</v>
      </c>
      <c r="G250" s="410"/>
      <c r="H250" s="21">
        <v>1</v>
      </c>
      <c r="I250" s="234" t="s">
        <v>212</v>
      </c>
      <c r="J250" s="222" t="s">
        <v>18</v>
      </c>
      <c r="K250" s="75">
        <v>2009</v>
      </c>
      <c r="L250" s="143">
        <v>200</v>
      </c>
      <c r="M250" s="151">
        <v>0</v>
      </c>
      <c r="N250" s="151">
        <v>0</v>
      </c>
      <c r="O250" s="145">
        <f t="shared" si="9"/>
        <v>200</v>
      </c>
    </row>
    <row r="251" spans="1:15" s="80" customFormat="1" ht="15" customHeight="1">
      <c r="A251" s="806"/>
      <c r="B251" s="806"/>
      <c r="C251" s="792"/>
      <c r="D251" s="21">
        <v>1</v>
      </c>
      <c r="E251" s="21"/>
      <c r="F251" s="75">
        <v>1</v>
      </c>
      <c r="G251" s="410"/>
      <c r="H251" s="21">
        <v>1</v>
      </c>
      <c r="I251" s="234" t="s">
        <v>18</v>
      </c>
      <c r="J251" s="222" t="s">
        <v>18</v>
      </c>
      <c r="K251" s="75">
        <v>1998</v>
      </c>
      <c r="L251" s="143">
        <v>305</v>
      </c>
      <c r="M251" s="151">
        <v>0</v>
      </c>
      <c r="N251" s="151">
        <v>0</v>
      </c>
      <c r="O251" s="145">
        <f t="shared" si="9"/>
        <v>305</v>
      </c>
    </row>
    <row r="252" spans="1:15" ht="15" customHeight="1">
      <c r="A252" s="806"/>
      <c r="B252" s="806"/>
      <c r="C252" s="792"/>
      <c r="D252" s="15">
        <v>1</v>
      </c>
      <c r="E252" s="22"/>
      <c r="F252" s="77">
        <v>1</v>
      </c>
      <c r="G252" s="253"/>
      <c r="H252" s="22">
        <v>1</v>
      </c>
      <c r="I252" s="234" t="s">
        <v>212</v>
      </c>
      <c r="J252" s="222" t="s">
        <v>31</v>
      </c>
      <c r="K252" s="78">
        <v>2009</v>
      </c>
      <c r="L252" s="151">
        <v>300</v>
      </c>
      <c r="M252" s="151">
        <v>0</v>
      </c>
      <c r="N252" s="151">
        <v>0</v>
      </c>
      <c r="O252" s="145">
        <f t="shared" si="9"/>
        <v>300</v>
      </c>
    </row>
    <row r="253" spans="1:15" ht="15" customHeight="1">
      <c r="A253" s="806"/>
      <c r="B253" s="806"/>
      <c r="C253" s="792"/>
      <c r="D253" s="15">
        <v>1</v>
      </c>
      <c r="E253" s="22">
        <v>1</v>
      </c>
      <c r="F253" s="77"/>
      <c r="G253" s="253">
        <v>1</v>
      </c>
      <c r="H253" s="22"/>
      <c r="I253" s="234" t="s">
        <v>212</v>
      </c>
      <c r="J253" s="620" t="s">
        <v>112</v>
      </c>
      <c r="K253" s="78">
        <v>1999</v>
      </c>
      <c r="L253" s="151">
        <v>250</v>
      </c>
      <c r="M253" s="151">
        <v>0</v>
      </c>
      <c r="N253" s="151">
        <v>0</v>
      </c>
      <c r="O253" s="145">
        <f t="shared" si="9"/>
        <v>250</v>
      </c>
    </row>
    <row r="254" spans="1:15" ht="15" customHeight="1">
      <c r="A254" s="806"/>
      <c r="B254" s="806"/>
      <c r="C254" s="792"/>
      <c r="D254" s="22">
        <v>1</v>
      </c>
      <c r="E254" s="22"/>
      <c r="F254" s="77">
        <v>1</v>
      </c>
      <c r="G254" s="253"/>
      <c r="H254" s="22">
        <v>1</v>
      </c>
      <c r="I254" s="234" t="s">
        <v>427</v>
      </c>
      <c r="J254" s="222" t="s">
        <v>427</v>
      </c>
      <c r="K254" s="77">
        <v>1997</v>
      </c>
      <c r="L254" s="145">
        <v>1140</v>
      </c>
      <c r="M254" s="151">
        <v>0</v>
      </c>
      <c r="N254" s="151">
        <v>0</v>
      </c>
      <c r="O254" s="145">
        <f t="shared" si="9"/>
        <v>1140</v>
      </c>
    </row>
    <row r="255" spans="1:15" ht="15" customHeight="1">
      <c r="A255" s="806"/>
      <c r="B255" s="806"/>
      <c r="C255" s="792"/>
      <c r="D255" s="22">
        <v>1</v>
      </c>
      <c r="E255" s="22">
        <v>1</v>
      </c>
      <c r="F255" s="77"/>
      <c r="G255" s="253"/>
      <c r="H255" s="22">
        <v>1</v>
      </c>
      <c r="I255" s="234" t="s">
        <v>212</v>
      </c>
      <c r="J255" s="222" t="s">
        <v>18</v>
      </c>
      <c r="K255" s="77">
        <v>2011</v>
      </c>
      <c r="L255" s="145">
        <v>125</v>
      </c>
      <c r="M255" s="151">
        <v>0</v>
      </c>
      <c r="N255" s="151">
        <v>0</v>
      </c>
      <c r="O255" s="145">
        <f t="shared" si="9"/>
        <v>125</v>
      </c>
    </row>
    <row r="256" spans="1:15" ht="15" customHeight="1">
      <c r="A256" s="806"/>
      <c r="B256" s="806"/>
      <c r="C256" s="792"/>
      <c r="D256" s="22">
        <v>1</v>
      </c>
      <c r="E256" s="22"/>
      <c r="F256" s="77">
        <v>1</v>
      </c>
      <c r="G256" s="253"/>
      <c r="H256" s="22">
        <v>1</v>
      </c>
      <c r="I256" s="235" t="s">
        <v>212</v>
      </c>
      <c r="J256" s="222" t="s">
        <v>18</v>
      </c>
      <c r="K256" s="77">
        <v>2007</v>
      </c>
      <c r="L256" s="145">
        <v>100</v>
      </c>
      <c r="M256" s="151">
        <v>0</v>
      </c>
      <c r="N256" s="151">
        <v>0</v>
      </c>
      <c r="O256" s="145">
        <f t="shared" si="9"/>
        <v>100</v>
      </c>
    </row>
    <row r="257" spans="1:15" ht="15" customHeight="1">
      <c r="A257" s="806"/>
      <c r="B257" s="806"/>
      <c r="C257" s="792"/>
      <c r="D257" s="15">
        <v>1</v>
      </c>
      <c r="E257" s="22">
        <v>1</v>
      </c>
      <c r="F257" s="77"/>
      <c r="G257" s="77">
        <v>1</v>
      </c>
      <c r="H257" s="247"/>
      <c r="I257" s="22" t="s">
        <v>212</v>
      </c>
      <c r="J257" s="222" t="s">
        <v>142</v>
      </c>
      <c r="K257" s="78">
        <v>1999</v>
      </c>
      <c r="L257" s="151">
        <v>0</v>
      </c>
      <c r="M257" s="151">
        <v>4800</v>
      </c>
      <c r="N257" s="151">
        <v>0</v>
      </c>
      <c r="O257" s="145">
        <f t="shared" si="9"/>
        <v>4800</v>
      </c>
    </row>
    <row r="258" spans="1:15" ht="15" customHeight="1">
      <c r="A258" s="806"/>
      <c r="B258" s="806"/>
      <c r="C258" s="792"/>
      <c r="D258" s="15">
        <v>1</v>
      </c>
      <c r="E258" s="22"/>
      <c r="F258" s="77">
        <v>1</v>
      </c>
      <c r="G258" s="253"/>
      <c r="H258" s="22">
        <v>1</v>
      </c>
      <c r="I258" s="234" t="s">
        <v>212</v>
      </c>
      <c r="J258" s="222" t="s">
        <v>327</v>
      </c>
      <c r="K258" s="78">
        <v>2010</v>
      </c>
      <c r="L258" s="151">
        <v>1650</v>
      </c>
      <c r="M258" s="151">
        <v>0</v>
      </c>
      <c r="N258" s="151">
        <v>0</v>
      </c>
      <c r="O258" s="145">
        <f t="shared" si="9"/>
        <v>1650</v>
      </c>
    </row>
    <row r="259" spans="1:15" ht="15" customHeight="1">
      <c r="A259" s="806"/>
      <c r="B259" s="806"/>
      <c r="C259" s="831"/>
      <c r="D259" s="15">
        <v>1</v>
      </c>
      <c r="E259" s="22">
        <v>1</v>
      </c>
      <c r="F259" s="77"/>
      <c r="G259" s="77">
        <v>1</v>
      </c>
      <c r="H259" s="22"/>
      <c r="I259" s="234" t="s">
        <v>212</v>
      </c>
      <c r="J259" s="222" t="s">
        <v>212</v>
      </c>
      <c r="K259" s="15">
        <v>1996</v>
      </c>
      <c r="L259" s="151">
        <v>200</v>
      </c>
      <c r="M259" s="151">
        <v>400</v>
      </c>
      <c r="N259" s="151">
        <v>0</v>
      </c>
      <c r="O259" s="145">
        <f t="shared" si="9"/>
        <v>600</v>
      </c>
    </row>
    <row r="260" spans="1:15" ht="15" customHeight="1">
      <c r="A260" s="806"/>
      <c r="B260" s="806"/>
      <c r="C260" s="792"/>
      <c r="D260" s="15">
        <v>1</v>
      </c>
      <c r="E260" s="22"/>
      <c r="F260" s="77">
        <v>1</v>
      </c>
      <c r="G260" s="77">
        <v>1</v>
      </c>
      <c r="H260" s="22"/>
      <c r="I260" s="22" t="s">
        <v>212</v>
      </c>
      <c r="J260" s="222" t="s">
        <v>212</v>
      </c>
      <c r="K260" s="78">
        <v>2002</v>
      </c>
      <c r="L260" s="151">
        <v>0</v>
      </c>
      <c r="M260" s="151">
        <v>500</v>
      </c>
      <c r="N260" s="151">
        <v>0</v>
      </c>
      <c r="O260" s="145">
        <f t="shared" si="9"/>
        <v>500</v>
      </c>
    </row>
    <row r="261" spans="1:15" ht="15" customHeight="1">
      <c r="A261" s="806"/>
      <c r="B261" s="806"/>
      <c r="C261" s="792"/>
      <c r="D261" s="15">
        <v>1</v>
      </c>
      <c r="E261" s="22">
        <v>1</v>
      </c>
      <c r="F261" s="77"/>
      <c r="G261" s="77">
        <v>1</v>
      </c>
      <c r="H261" s="22"/>
      <c r="I261" s="234" t="s">
        <v>212</v>
      </c>
      <c r="J261" s="620" t="s">
        <v>432</v>
      </c>
      <c r="K261" s="78">
        <v>2008</v>
      </c>
      <c r="L261" s="151">
        <v>200</v>
      </c>
      <c r="M261" s="151">
        <v>0</v>
      </c>
      <c r="N261" s="151">
        <v>260</v>
      </c>
      <c r="O261" s="145">
        <f t="shared" si="9"/>
        <v>460</v>
      </c>
    </row>
    <row r="262" spans="1:15" ht="15" customHeight="1">
      <c r="A262" s="806"/>
      <c r="B262" s="806"/>
      <c r="C262" s="792"/>
      <c r="D262" s="15">
        <v>1</v>
      </c>
      <c r="E262" s="22"/>
      <c r="F262" s="77">
        <v>1</v>
      </c>
      <c r="G262" s="77">
        <v>1</v>
      </c>
      <c r="H262" s="22"/>
      <c r="I262" s="234" t="s">
        <v>212</v>
      </c>
      <c r="J262" s="222" t="s">
        <v>385</v>
      </c>
      <c r="K262" s="78">
        <v>2003</v>
      </c>
      <c r="L262" s="151">
        <v>650</v>
      </c>
      <c r="M262" s="151">
        <v>0</v>
      </c>
      <c r="N262" s="151">
        <v>0</v>
      </c>
      <c r="O262" s="145">
        <f t="shared" si="9"/>
        <v>650</v>
      </c>
    </row>
    <row r="263" spans="1:15" ht="15" customHeight="1">
      <c r="A263" s="806"/>
      <c r="B263" s="806"/>
      <c r="C263" s="792"/>
      <c r="D263" s="15">
        <v>1</v>
      </c>
      <c r="E263" s="22">
        <v>1</v>
      </c>
      <c r="F263" s="77"/>
      <c r="G263" s="77"/>
      <c r="H263" s="247">
        <v>1</v>
      </c>
      <c r="I263" s="234" t="s">
        <v>212</v>
      </c>
      <c r="J263" s="222" t="s">
        <v>18</v>
      </c>
      <c r="K263" s="78">
        <v>2010</v>
      </c>
      <c r="L263" s="151">
        <v>0</v>
      </c>
      <c r="M263" s="151">
        <v>1200</v>
      </c>
      <c r="N263" s="151">
        <v>0</v>
      </c>
      <c r="O263" s="145">
        <f t="shared" si="9"/>
        <v>1200</v>
      </c>
    </row>
    <row r="264" spans="1:15" ht="15" customHeight="1">
      <c r="A264" s="806"/>
      <c r="B264" s="806"/>
      <c r="C264" s="792"/>
      <c r="D264" s="15">
        <v>1</v>
      </c>
      <c r="E264" s="22"/>
      <c r="F264" s="77">
        <v>1</v>
      </c>
      <c r="G264" s="77">
        <v>1</v>
      </c>
      <c r="H264" s="247"/>
      <c r="I264" s="234" t="s">
        <v>212</v>
      </c>
      <c r="J264" s="222" t="s">
        <v>212</v>
      </c>
      <c r="K264" s="78">
        <v>2003</v>
      </c>
      <c r="L264" s="151">
        <v>400</v>
      </c>
      <c r="M264" s="151">
        <v>0</v>
      </c>
      <c r="N264" s="151">
        <v>0</v>
      </c>
      <c r="O264" s="145">
        <f t="shared" si="9"/>
        <v>400</v>
      </c>
    </row>
    <row r="265" spans="1:15" ht="15" customHeight="1">
      <c r="A265" s="806"/>
      <c r="B265" s="806"/>
      <c r="C265" s="792"/>
      <c r="D265" s="15">
        <v>1</v>
      </c>
      <c r="E265" s="22"/>
      <c r="F265" s="77">
        <v>1</v>
      </c>
      <c r="G265" s="253"/>
      <c r="H265" s="22">
        <v>1</v>
      </c>
      <c r="I265" s="234" t="s">
        <v>212</v>
      </c>
      <c r="J265" s="222" t="s">
        <v>427</v>
      </c>
      <c r="K265" s="78">
        <v>2002</v>
      </c>
      <c r="L265" s="151">
        <f>2426.9+3040+483.08</f>
        <v>5949.98</v>
      </c>
      <c r="M265" s="151">
        <v>0</v>
      </c>
      <c r="N265" s="151">
        <v>0</v>
      </c>
      <c r="O265" s="145">
        <f t="shared" si="9"/>
        <v>5949.98</v>
      </c>
    </row>
    <row r="266" spans="1:15" ht="15" customHeight="1">
      <c r="A266" s="806"/>
      <c r="B266" s="806"/>
      <c r="C266" s="792"/>
      <c r="D266" s="15">
        <v>1</v>
      </c>
      <c r="E266" s="22"/>
      <c r="F266" s="77">
        <v>1</v>
      </c>
      <c r="G266" s="253"/>
      <c r="H266" s="22">
        <v>1</v>
      </c>
      <c r="I266" s="234" t="s">
        <v>212</v>
      </c>
      <c r="J266" s="222" t="s">
        <v>427</v>
      </c>
      <c r="K266" s="78">
        <v>2007</v>
      </c>
      <c r="L266" s="151">
        <v>990</v>
      </c>
      <c r="M266" s="151">
        <v>0</v>
      </c>
      <c r="N266" s="151">
        <v>0</v>
      </c>
      <c r="O266" s="145">
        <f t="shared" si="9"/>
        <v>990</v>
      </c>
    </row>
    <row r="267" spans="1:15" ht="15" customHeight="1">
      <c r="A267" s="806"/>
      <c r="B267" s="806"/>
      <c r="C267" s="792"/>
      <c r="D267" s="15">
        <v>1</v>
      </c>
      <c r="E267" s="22">
        <v>1</v>
      </c>
      <c r="F267" s="77"/>
      <c r="G267" s="237"/>
      <c r="H267" s="22">
        <v>1</v>
      </c>
      <c r="I267" s="235" t="s">
        <v>212</v>
      </c>
      <c r="J267" s="222" t="s">
        <v>18</v>
      </c>
      <c r="K267" s="78">
        <v>2009</v>
      </c>
      <c r="L267" s="151">
        <v>786</v>
      </c>
      <c r="M267" s="151">
        <v>0</v>
      </c>
      <c r="N267" s="151">
        <v>0</v>
      </c>
      <c r="O267" s="145">
        <f t="shared" si="9"/>
        <v>786</v>
      </c>
    </row>
    <row r="268" spans="1:15" ht="15" customHeight="1">
      <c r="A268" s="806"/>
      <c r="B268" s="806"/>
      <c r="C268" s="792"/>
      <c r="D268" s="15">
        <v>1</v>
      </c>
      <c r="E268" s="22"/>
      <c r="F268" s="605">
        <v>1</v>
      </c>
      <c r="G268" s="77">
        <v>1</v>
      </c>
      <c r="H268" s="22"/>
      <c r="I268" s="235" t="s">
        <v>212</v>
      </c>
      <c r="J268" s="621" t="s">
        <v>137</v>
      </c>
      <c r="K268" s="15">
        <v>2000</v>
      </c>
      <c r="L268" s="151">
        <v>343</v>
      </c>
      <c r="M268" s="151">
        <v>0</v>
      </c>
      <c r="N268" s="151">
        <v>0</v>
      </c>
      <c r="O268" s="145">
        <f t="shared" si="9"/>
        <v>343</v>
      </c>
    </row>
    <row r="269" spans="1:15" ht="15" customHeight="1">
      <c r="A269" s="806"/>
      <c r="B269" s="806"/>
      <c r="C269" s="792"/>
      <c r="D269" s="15">
        <v>1</v>
      </c>
      <c r="E269" s="22"/>
      <c r="F269" s="15">
        <v>1</v>
      </c>
      <c r="G269" s="77">
        <v>1</v>
      </c>
      <c r="H269" s="22"/>
      <c r="I269" s="22" t="s">
        <v>212</v>
      </c>
      <c r="J269" s="222" t="s">
        <v>354</v>
      </c>
      <c r="K269" s="15">
        <v>2000</v>
      </c>
      <c r="L269" s="151">
        <v>0</v>
      </c>
      <c r="M269" s="151">
        <v>0</v>
      </c>
      <c r="N269" s="151">
        <v>140</v>
      </c>
      <c r="O269" s="145">
        <f t="shared" si="9"/>
        <v>140</v>
      </c>
    </row>
    <row r="270" spans="1:15" ht="15" customHeight="1">
      <c r="A270" s="806"/>
      <c r="B270" s="806"/>
      <c r="C270" s="792"/>
      <c r="D270" s="15">
        <v>1</v>
      </c>
      <c r="E270" s="22"/>
      <c r="F270" s="77">
        <v>1</v>
      </c>
      <c r="G270" s="77"/>
      <c r="H270" s="22">
        <v>1</v>
      </c>
      <c r="I270" s="247" t="s">
        <v>212</v>
      </c>
      <c r="J270" s="222" t="s">
        <v>427</v>
      </c>
      <c r="K270" s="78">
        <v>2010</v>
      </c>
      <c r="L270" s="151">
        <v>2150</v>
      </c>
      <c r="M270" s="151">
        <v>0</v>
      </c>
      <c r="N270" s="151">
        <v>0</v>
      </c>
      <c r="O270" s="145">
        <f t="shared" si="9"/>
        <v>2150</v>
      </c>
    </row>
    <row r="271" spans="1:15" ht="15" customHeight="1">
      <c r="A271" s="806"/>
      <c r="B271" s="806"/>
      <c r="C271" s="792"/>
      <c r="D271" s="15">
        <v>1</v>
      </c>
      <c r="E271" s="22">
        <v>1</v>
      </c>
      <c r="F271" s="77"/>
      <c r="G271" s="77">
        <v>1</v>
      </c>
      <c r="H271" s="22"/>
      <c r="I271" s="247" t="s">
        <v>212</v>
      </c>
      <c r="J271" s="224" t="s">
        <v>212</v>
      </c>
      <c r="K271" s="78">
        <v>1996</v>
      </c>
      <c r="L271" s="151">
        <v>690</v>
      </c>
      <c r="M271" s="151">
        <v>0</v>
      </c>
      <c r="N271" s="151">
        <v>0</v>
      </c>
      <c r="O271" s="145">
        <f t="shared" si="9"/>
        <v>690</v>
      </c>
    </row>
    <row r="272" spans="1:15" ht="15" customHeight="1">
      <c r="A272" s="806"/>
      <c r="B272" s="806"/>
      <c r="C272" s="792"/>
      <c r="D272" s="15">
        <v>1</v>
      </c>
      <c r="E272" s="22">
        <v>1</v>
      </c>
      <c r="F272" s="77"/>
      <c r="G272" s="77">
        <v>1</v>
      </c>
      <c r="H272" s="22"/>
      <c r="I272" s="247" t="s">
        <v>212</v>
      </c>
      <c r="J272" s="417" t="s">
        <v>115</v>
      </c>
      <c r="K272" s="78">
        <v>2001</v>
      </c>
      <c r="L272" s="151">
        <v>0</v>
      </c>
      <c r="M272" s="151">
        <v>0</v>
      </c>
      <c r="N272" s="151">
        <v>653</v>
      </c>
      <c r="O272" s="145">
        <f t="shared" si="9"/>
        <v>653</v>
      </c>
    </row>
    <row r="273" spans="1:15" ht="15" customHeight="1">
      <c r="A273" s="806"/>
      <c r="B273" s="806"/>
      <c r="C273" s="792"/>
      <c r="D273" s="15">
        <v>1</v>
      </c>
      <c r="E273" s="22">
        <v>1</v>
      </c>
      <c r="F273" s="77"/>
      <c r="G273" s="77">
        <v>1</v>
      </c>
      <c r="H273" s="22"/>
      <c r="I273" s="247" t="s">
        <v>212</v>
      </c>
      <c r="J273" s="222" t="s">
        <v>115</v>
      </c>
      <c r="K273" s="78">
        <v>2002</v>
      </c>
      <c r="L273" s="151">
        <v>470.55</v>
      </c>
      <c r="M273" s="151">
        <v>0</v>
      </c>
      <c r="N273" s="151">
        <v>0</v>
      </c>
      <c r="O273" s="145">
        <f t="shared" si="9"/>
        <v>470.55</v>
      </c>
    </row>
    <row r="274" spans="1:15" ht="15" customHeight="1">
      <c r="A274" s="806"/>
      <c r="B274" s="806"/>
      <c r="C274" s="792"/>
      <c r="D274" s="15">
        <v>1</v>
      </c>
      <c r="E274" s="22"/>
      <c r="F274" s="97">
        <v>1</v>
      </c>
      <c r="G274" s="77">
        <v>1</v>
      </c>
      <c r="H274" s="22"/>
      <c r="I274" s="247" t="s">
        <v>212</v>
      </c>
      <c r="J274" s="222" t="s">
        <v>138</v>
      </c>
      <c r="K274" s="78">
        <v>2000</v>
      </c>
      <c r="L274" s="151">
        <v>250</v>
      </c>
      <c r="M274" s="151">
        <v>0</v>
      </c>
      <c r="N274" s="151">
        <v>0</v>
      </c>
      <c r="O274" s="145">
        <f t="shared" si="9"/>
        <v>250</v>
      </c>
    </row>
    <row r="275" spans="1:15" ht="15" customHeight="1">
      <c r="A275" s="806"/>
      <c r="B275" s="806"/>
      <c r="C275" s="792"/>
      <c r="D275" s="15">
        <v>1</v>
      </c>
      <c r="E275" s="22">
        <v>1</v>
      </c>
      <c r="F275" s="77"/>
      <c r="G275" s="77"/>
      <c r="H275" s="22">
        <v>1</v>
      </c>
      <c r="I275" s="276" t="s">
        <v>343</v>
      </c>
      <c r="J275" s="276" t="s">
        <v>343</v>
      </c>
      <c r="K275" s="78">
        <v>2001</v>
      </c>
      <c r="L275" s="151">
        <v>400</v>
      </c>
      <c r="M275" s="151">
        <v>0</v>
      </c>
      <c r="N275" s="151">
        <v>0</v>
      </c>
      <c r="O275" s="145">
        <f t="shared" si="9"/>
        <v>400</v>
      </c>
    </row>
    <row r="276" spans="1:15" ht="15" customHeight="1">
      <c r="A276" s="806"/>
      <c r="B276" s="806"/>
      <c r="C276" s="792"/>
      <c r="D276" s="15">
        <v>1</v>
      </c>
      <c r="E276" s="22">
        <v>1</v>
      </c>
      <c r="F276" s="77"/>
      <c r="G276" s="77">
        <v>1</v>
      </c>
      <c r="H276" s="22"/>
      <c r="I276" s="22" t="s">
        <v>119</v>
      </c>
      <c r="J276" s="276" t="s">
        <v>398</v>
      </c>
      <c r="K276" s="78">
        <v>2001</v>
      </c>
      <c r="L276" s="151">
        <v>300</v>
      </c>
      <c r="M276" s="151">
        <v>0</v>
      </c>
      <c r="N276" s="151">
        <v>0</v>
      </c>
      <c r="O276" s="145">
        <f t="shared" si="9"/>
        <v>300</v>
      </c>
    </row>
    <row r="277" spans="1:15" ht="15" customHeight="1">
      <c r="A277" s="806"/>
      <c r="B277" s="806"/>
      <c r="C277" s="792"/>
      <c r="D277" s="15">
        <v>1</v>
      </c>
      <c r="E277" s="22">
        <v>1</v>
      </c>
      <c r="F277" s="77"/>
      <c r="G277" s="77"/>
      <c r="H277" s="22">
        <v>1</v>
      </c>
      <c r="I277" s="222" t="s">
        <v>342</v>
      </c>
      <c r="J277" s="276" t="s">
        <v>342</v>
      </c>
      <c r="K277" s="78">
        <v>1995</v>
      </c>
      <c r="L277" s="151">
        <v>100</v>
      </c>
      <c r="M277" s="151">
        <v>0</v>
      </c>
      <c r="N277" s="151">
        <v>0</v>
      </c>
      <c r="O277" s="145">
        <f t="shared" si="9"/>
        <v>100</v>
      </c>
    </row>
    <row r="278" spans="1:15" ht="15" customHeight="1">
      <c r="A278" s="806"/>
      <c r="B278" s="806"/>
      <c r="C278" s="792"/>
      <c r="D278" s="15">
        <v>1</v>
      </c>
      <c r="E278" s="22">
        <v>1</v>
      </c>
      <c r="F278" s="77"/>
      <c r="G278" s="77">
        <v>1</v>
      </c>
      <c r="H278" s="22"/>
      <c r="I278" s="22" t="s">
        <v>212</v>
      </c>
      <c r="J278" s="276" t="s">
        <v>212</v>
      </c>
      <c r="K278" s="78">
        <v>1999</v>
      </c>
      <c r="L278" s="151">
        <v>250</v>
      </c>
      <c r="M278" s="151">
        <v>0</v>
      </c>
      <c r="N278" s="151">
        <v>0</v>
      </c>
      <c r="O278" s="145">
        <f t="shared" si="9"/>
        <v>250</v>
      </c>
    </row>
    <row r="279" spans="1:15" ht="15" customHeight="1">
      <c r="A279" s="806"/>
      <c r="B279" s="806"/>
      <c r="C279" s="792"/>
      <c r="D279" s="15">
        <v>1</v>
      </c>
      <c r="E279" s="22">
        <v>1</v>
      </c>
      <c r="F279" s="77"/>
      <c r="G279" s="77">
        <v>1</v>
      </c>
      <c r="H279" s="22"/>
      <c r="I279" s="22" t="s">
        <v>212</v>
      </c>
      <c r="J279" s="276" t="s">
        <v>212</v>
      </c>
      <c r="K279" s="78">
        <v>2010</v>
      </c>
      <c r="L279" s="151">
        <v>190</v>
      </c>
      <c r="M279" s="151">
        <v>0</v>
      </c>
      <c r="N279" s="151">
        <v>0</v>
      </c>
      <c r="O279" s="145">
        <f t="shared" si="9"/>
        <v>190</v>
      </c>
    </row>
    <row r="280" spans="1:15" ht="15" customHeight="1">
      <c r="A280" s="806"/>
      <c r="B280" s="806"/>
      <c r="C280" s="792"/>
      <c r="D280" s="15">
        <v>1</v>
      </c>
      <c r="E280" s="22"/>
      <c r="F280" s="77">
        <v>1</v>
      </c>
      <c r="G280" s="77"/>
      <c r="H280" s="22">
        <v>1</v>
      </c>
      <c r="I280" s="22" t="s">
        <v>212</v>
      </c>
      <c r="J280" s="276" t="s">
        <v>18</v>
      </c>
      <c r="K280" s="78">
        <v>2003</v>
      </c>
      <c r="L280" s="151">
        <v>750</v>
      </c>
      <c r="M280" s="151">
        <v>0</v>
      </c>
      <c r="N280" s="151">
        <v>0</v>
      </c>
      <c r="O280" s="145">
        <f t="shared" si="9"/>
        <v>750</v>
      </c>
    </row>
    <row r="281" spans="1:15" ht="15" customHeight="1">
      <c r="A281" s="806"/>
      <c r="B281" s="806"/>
      <c r="C281" s="792"/>
      <c r="D281" s="15">
        <v>1</v>
      </c>
      <c r="E281" s="22">
        <v>1</v>
      </c>
      <c r="F281" s="77"/>
      <c r="G281" s="77">
        <v>1</v>
      </c>
      <c r="H281" s="22"/>
      <c r="I281" s="22" t="s">
        <v>212</v>
      </c>
      <c r="J281" s="276" t="s">
        <v>212</v>
      </c>
      <c r="K281" s="78">
        <v>1995</v>
      </c>
      <c r="L281" s="151">
        <v>0</v>
      </c>
      <c r="M281" s="151">
        <v>0</v>
      </c>
      <c r="N281" s="151">
        <v>200</v>
      </c>
      <c r="O281" s="145">
        <f t="shared" si="9"/>
        <v>200</v>
      </c>
    </row>
    <row r="282" spans="1:15" ht="15" customHeight="1">
      <c r="A282" s="806"/>
      <c r="B282" s="809"/>
      <c r="C282" s="792"/>
      <c r="D282" s="15">
        <v>1</v>
      </c>
      <c r="E282" s="22">
        <v>1</v>
      </c>
      <c r="F282" s="77"/>
      <c r="G282" s="77"/>
      <c r="H282" s="22">
        <v>1</v>
      </c>
      <c r="I282" s="22" t="s">
        <v>212</v>
      </c>
      <c r="J282" s="222" t="s">
        <v>327</v>
      </c>
      <c r="K282" s="78">
        <v>2008</v>
      </c>
      <c r="L282" s="151">
        <v>558.17</v>
      </c>
      <c r="M282" s="151">
        <v>0</v>
      </c>
      <c r="N282" s="151">
        <v>0</v>
      </c>
      <c r="O282" s="145">
        <f t="shared" si="9"/>
        <v>558.17</v>
      </c>
    </row>
    <row r="283" spans="1:15" ht="15" customHeight="1">
      <c r="A283" s="807"/>
      <c r="B283" s="791"/>
      <c r="C283" s="792"/>
      <c r="D283" s="15">
        <v>1</v>
      </c>
      <c r="E283" s="22">
        <v>1</v>
      </c>
      <c r="F283" s="77"/>
      <c r="G283" s="77">
        <v>1</v>
      </c>
      <c r="H283" s="22"/>
      <c r="I283" s="22" t="s">
        <v>212</v>
      </c>
      <c r="J283" s="222" t="s">
        <v>212</v>
      </c>
      <c r="K283" s="78">
        <v>2005</v>
      </c>
      <c r="L283" s="151">
        <v>0</v>
      </c>
      <c r="M283" s="151">
        <v>0</v>
      </c>
      <c r="N283" s="151">
        <v>200</v>
      </c>
      <c r="O283" s="145">
        <f t="shared" si="9"/>
        <v>200</v>
      </c>
    </row>
    <row r="284" spans="1:15" s="161" customFormat="1" ht="15" customHeight="1">
      <c r="A284" s="1081" t="s">
        <v>341</v>
      </c>
      <c r="B284" s="1082"/>
      <c r="C284" s="256"/>
      <c r="D284" s="108">
        <f>SUM(D247:D283)</f>
        <v>37</v>
      </c>
      <c r="E284" s="108">
        <f>SUM(E247:E283)</f>
        <v>19</v>
      </c>
      <c r="F284" s="108">
        <f>SUM(F247:F283)</f>
        <v>18</v>
      </c>
      <c r="G284" s="108">
        <f>SUM(G247:G283)</f>
        <v>18</v>
      </c>
      <c r="H284" s="108">
        <f>SUM(H247:H283)</f>
        <v>19</v>
      </c>
      <c r="I284" s="85"/>
      <c r="J284" s="256"/>
      <c r="K284" s="109"/>
      <c r="L284" s="149">
        <f>SUM(L247:L283)</f>
        <v>20767.699999999997</v>
      </c>
      <c r="M284" s="149">
        <f>SUM(M247:M283)</f>
        <v>6900</v>
      </c>
      <c r="N284" s="149">
        <f>SUM(N247:N283)</f>
        <v>1453</v>
      </c>
      <c r="O284" s="149">
        <f>SUM(O247:O283)</f>
        <v>29120.699999999997</v>
      </c>
    </row>
    <row r="285" spans="1:15" s="404" customFormat="1" ht="15" customHeight="1">
      <c r="A285" s="1064" t="s">
        <v>71</v>
      </c>
      <c r="B285" s="1065"/>
      <c r="C285" s="42"/>
      <c r="D285" s="19"/>
      <c r="E285" s="19"/>
      <c r="F285" s="19"/>
      <c r="G285" s="19"/>
      <c r="H285" s="251"/>
      <c r="I285" s="57"/>
      <c r="J285" s="42"/>
      <c r="K285" s="19"/>
      <c r="L285" s="160"/>
      <c r="M285" s="164"/>
      <c r="N285" s="164"/>
      <c r="O285" s="153"/>
    </row>
    <row r="286" spans="1:15" s="50" customFormat="1" ht="48" customHeight="1">
      <c r="A286" s="39" t="s">
        <v>332</v>
      </c>
      <c r="B286" s="39" t="s">
        <v>333</v>
      </c>
      <c r="C286" s="39" t="s">
        <v>213</v>
      </c>
      <c r="D286" s="115" t="s">
        <v>36</v>
      </c>
      <c r="E286" s="115" t="s">
        <v>73</v>
      </c>
      <c r="F286" s="115" t="s">
        <v>74</v>
      </c>
      <c r="G286" s="115" t="s">
        <v>37</v>
      </c>
      <c r="H286" s="268" t="s">
        <v>38</v>
      </c>
      <c r="I286" s="39" t="s">
        <v>15</v>
      </c>
      <c r="J286" s="115" t="s">
        <v>214</v>
      </c>
      <c r="K286" s="115" t="s">
        <v>39</v>
      </c>
      <c r="L286" s="130" t="s">
        <v>63</v>
      </c>
      <c r="M286" s="130" t="s">
        <v>149</v>
      </c>
      <c r="N286" s="130" t="s">
        <v>167</v>
      </c>
      <c r="O286" s="130" t="s">
        <v>58</v>
      </c>
    </row>
    <row r="287" spans="1:15" ht="15" customHeight="1">
      <c r="A287" s="806"/>
      <c r="B287" s="806"/>
      <c r="C287" s="792"/>
      <c r="D287" s="15">
        <v>1</v>
      </c>
      <c r="E287" s="22"/>
      <c r="F287" s="22">
        <v>1</v>
      </c>
      <c r="G287" s="15"/>
      <c r="H287" s="22">
        <v>1</v>
      </c>
      <c r="I287" s="33" t="s">
        <v>18</v>
      </c>
      <c r="J287" s="222" t="s">
        <v>18</v>
      </c>
      <c r="K287" s="15">
        <v>2004</v>
      </c>
      <c r="L287" s="151">
        <v>211.36</v>
      </c>
      <c r="M287" s="151">
        <v>0</v>
      </c>
      <c r="N287" s="151">
        <v>0</v>
      </c>
      <c r="O287" s="261">
        <f aca="true" t="shared" si="10" ref="O287:O294">L287+M287+N287</f>
        <v>211.36</v>
      </c>
    </row>
    <row r="288" spans="1:15" ht="15" customHeight="1">
      <c r="A288" s="806"/>
      <c r="B288" s="803"/>
      <c r="C288" s="792"/>
      <c r="D288" s="15">
        <v>1</v>
      </c>
      <c r="E288" s="22">
        <v>1</v>
      </c>
      <c r="F288" s="22"/>
      <c r="G288" s="22">
        <v>1</v>
      </c>
      <c r="H288" s="22"/>
      <c r="I288" s="33" t="s">
        <v>212</v>
      </c>
      <c r="J288" s="222" t="s">
        <v>212</v>
      </c>
      <c r="K288" s="15">
        <v>2001</v>
      </c>
      <c r="L288" s="151">
        <v>250.33</v>
      </c>
      <c r="M288" s="151">
        <v>0</v>
      </c>
      <c r="N288" s="151">
        <v>0</v>
      </c>
      <c r="O288" s="261">
        <f t="shared" si="10"/>
        <v>250.33</v>
      </c>
    </row>
    <row r="289" spans="1:15" ht="15" customHeight="1">
      <c r="A289" s="806"/>
      <c r="B289" s="806"/>
      <c r="C289" s="792"/>
      <c r="D289" s="15">
        <v>1</v>
      </c>
      <c r="E289" s="22"/>
      <c r="F289" s="22">
        <v>1</v>
      </c>
      <c r="G289" s="15">
        <v>1</v>
      </c>
      <c r="H289" s="250"/>
      <c r="I289" s="33" t="s">
        <v>212</v>
      </c>
      <c r="J289" s="222" t="s">
        <v>212</v>
      </c>
      <c r="K289" s="15">
        <v>1998</v>
      </c>
      <c r="L289" s="151">
        <v>500</v>
      </c>
      <c r="M289" s="151">
        <v>0</v>
      </c>
      <c r="N289" s="151">
        <v>0</v>
      </c>
      <c r="O289" s="261">
        <f t="shared" si="10"/>
        <v>500</v>
      </c>
    </row>
    <row r="290" spans="1:15" ht="15" customHeight="1">
      <c r="A290" s="806"/>
      <c r="B290" s="806"/>
      <c r="C290" s="792"/>
      <c r="D290" s="15">
        <v>1</v>
      </c>
      <c r="E290" s="22"/>
      <c r="F290" s="22">
        <v>1</v>
      </c>
      <c r="G290" s="15"/>
      <c r="H290" s="22">
        <v>1</v>
      </c>
      <c r="I290" s="33" t="s">
        <v>18</v>
      </c>
      <c r="J290" s="222" t="s">
        <v>18</v>
      </c>
      <c r="K290" s="15">
        <v>2006</v>
      </c>
      <c r="L290" s="151">
        <v>0</v>
      </c>
      <c r="M290" s="151">
        <v>900</v>
      </c>
      <c r="N290" s="151">
        <v>0</v>
      </c>
      <c r="O290" s="261">
        <f t="shared" si="10"/>
        <v>900</v>
      </c>
    </row>
    <row r="291" spans="1:15" ht="15" customHeight="1">
      <c r="A291" s="806"/>
      <c r="B291" s="806"/>
      <c r="C291" s="792"/>
      <c r="D291" s="15">
        <v>1</v>
      </c>
      <c r="E291" s="22">
        <v>1</v>
      </c>
      <c r="F291" s="22"/>
      <c r="G291" s="15"/>
      <c r="H291" s="22">
        <v>1</v>
      </c>
      <c r="I291" s="33" t="s">
        <v>212</v>
      </c>
      <c r="J291" s="222" t="s">
        <v>18</v>
      </c>
      <c r="K291" s="15">
        <v>2009</v>
      </c>
      <c r="L291" s="151">
        <v>1023.74</v>
      </c>
      <c r="M291" s="151">
        <v>300</v>
      </c>
      <c r="N291" s="151">
        <v>0</v>
      </c>
      <c r="O291" s="261">
        <f t="shared" si="10"/>
        <v>1323.74</v>
      </c>
    </row>
    <row r="292" spans="1:15" ht="15" customHeight="1">
      <c r="A292" s="806"/>
      <c r="B292" s="806"/>
      <c r="C292" s="792"/>
      <c r="D292" s="15">
        <v>1</v>
      </c>
      <c r="E292" s="15"/>
      <c r="F292" s="22">
        <v>1</v>
      </c>
      <c r="G292" s="15">
        <v>1</v>
      </c>
      <c r="H292" s="250"/>
      <c r="I292" s="33" t="s">
        <v>212</v>
      </c>
      <c r="J292" s="222" t="s">
        <v>212</v>
      </c>
      <c r="K292" s="15">
        <v>2000</v>
      </c>
      <c r="L292" s="151">
        <v>300</v>
      </c>
      <c r="M292" s="151">
        <v>1600</v>
      </c>
      <c r="N292" s="151">
        <v>0</v>
      </c>
      <c r="O292" s="261">
        <f t="shared" si="10"/>
        <v>1900</v>
      </c>
    </row>
    <row r="293" spans="1:15" ht="30" customHeight="1">
      <c r="A293" s="1075" t="s">
        <v>399</v>
      </c>
      <c r="B293" s="1089"/>
      <c r="C293" s="43"/>
      <c r="D293" s="15"/>
      <c r="E293" s="15"/>
      <c r="F293" s="15"/>
      <c r="G293" s="15"/>
      <c r="H293" s="250"/>
      <c r="I293" s="33"/>
      <c r="J293" s="43"/>
      <c r="K293" s="15"/>
      <c r="L293" s="151">
        <v>0</v>
      </c>
      <c r="M293" s="151">
        <v>0</v>
      </c>
      <c r="N293" s="151">
        <f>180</f>
        <v>180</v>
      </c>
      <c r="O293" s="261">
        <f t="shared" si="10"/>
        <v>180</v>
      </c>
    </row>
    <row r="294" spans="1:15" s="80" customFormat="1" ht="30" customHeight="1">
      <c r="A294" s="1075" t="s">
        <v>280</v>
      </c>
      <c r="B294" s="1089"/>
      <c r="C294" s="262"/>
      <c r="D294" s="22"/>
      <c r="E294" s="22"/>
      <c r="F294" s="22"/>
      <c r="G294" s="22"/>
      <c r="H294" s="250"/>
      <c r="I294" s="33"/>
      <c r="J294" s="262"/>
      <c r="K294" s="22"/>
      <c r="L294" s="145">
        <v>0</v>
      </c>
      <c r="M294" s="151">
        <v>0</v>
      </c>
      <c r="N294" s="151">
        <v>1045</v>
      </c>
      <c r="O294" s="261">
        <f t="shared" si="10"/>
        <v>1045</v>
      </c>
    </row>
    <row r="295" spans="1:15" s="411" customFormat="1" ht="15" customHeight="1">
      <c r="A295" s="1087" t="s">
        <v>22</v>
      </c>
      <c r="B295" s="1088"/>
      <c r="C295" s="263"/>
      <c r="D295" s="83">
        <f>SUM(D287:D292)</f>
        <v>6</v>
      </c>
      <c r="E295" s="83">
        <f>SUM(E287:E292)</f>
        <v>2</v>
      </c>
      <c r="F295" s="83">
        <f>SUM(F287:F292)</f>
        <v>4</v>
      </c>
      <c r="G295" s="83">
        <f>SUM(G287:G292)</f>
        <v>3</v>
      </c>
      <c r="H295" s="83">
        <f>SUM(H287:H292)</f>
        <v>3</v>
      </c>
      <c r="I295" s="158"/>
      <c r="J295" s="263"/>
      <c r="K295" s="83"/>
      <c r="L295" s="142">
        <f>SUM(L287:L294)</f>
        <v>2285.4300000000003</v>
      </c>
      <c r="M295" s="149">
        <f>SUM(M287:M292)</f>
        <v>2800</v>
      </c>
      <c r="N295" s="149">
        <f>SUM(N287:N294)</f>
        <v>1225</v>
      </c>
      <c r="O295" s="149">
        <f>SUM(O287:O294)</f>
        <v>6310.43</v>
      </c>
    </row>
    <row r="296" spans="1:15" s="404" customFormat="1" ht="15" customHeight="1">
      <c r="A296" s="1064" t="s">
        <v>72</v>
      </c>
      <c r="B296" s="1065"/>
      <c r="C296" s="42"/>
      <c r="D296" s="19"/>
      <c r="E296" s="19"/>
      <c r="F296" s="19"/>
      <c r="G296" s="19"/>
      <c r="H296" s="251"/>
      <c r="I296" s="57"/>
      <c r="J296" s="42"/>
      <c r="K296" s="19"/>
      <c r="L296" s="160"/>
      <c r="M296" s="164"/>
      <c r="N296" s="164"/>
      <c r="O296" s="153"/>
    </row>
    <row r="297" spans="1:15" s="50" customFormat="1" ht="48" customHeight="1">
      <c r="A297" s="39" t="s">
        <v>332</v>
      </c>
      <c r="B297" s="39" t="s">
        <v>333</v>
      </c>
      <c r="C297" s="39" t="s">
        <v>213</v>
      </c>
      <c r="D297" s="115" t="s">
        <v>36</v>
      </c>
      <c r="E297" s="115" t="s">
        <v>73</v>
      </c>
      <c r="F297" s="115" t="s">
        <v>74</v>
      </c>
      <c r="G297" s="115" t="s">
        <v>37</v>
      </c>
      <c r="H297" s="268" t="s">
        <v>38</v>
      </c>
      <c r="I297" s="39" t="s">
        <v>15</v>
      </c>
      <c r="J297" s="115" t="s">
        <v>214</v>
      </c>
      <c r="K297" s="115" t="s">
        <v>39</v>
      </c>
      <c r="L297" s="130" t="s">
        <v>63</v>
      </c>
      <c r="M297" s="130" t="s">
        <v>149</v>
      </c>
      <c r="N297" s="130" t="s">
        <v>167</v>
      </c>
      <c r="O297" s="130" t="s">
        <v>58</v>
      </c>
    </row>
    <row r="298" spans="1:15" ht="15" customHeight="1">
      <c r="A298" s="806"/>
      <c r="B298" s="806"/>
      <c r="C298" s="792"/>
      <c r="D298" s="15">
        <v>1</v>
      </c>
      <c r="E298" s="22"/>
      <c r="F298" s="22">
        <v>1</v>
      </c>
      <c r="G298" s="22"/>
      <c r="H298" s="22">
        <v>1</v>
      </c>
      <c r="I298" s="234" t="s">
        <v>168</v>
      </c>
      <c r="J298" s="222" t="s">
        <v>168</v>
      </c>
      <c r="K298" s="15">
        <v>2000</v>
      </c>
      <c r="L298" s="151">
        <v>0</v>
      </c>
      <c r="M298" s="151">
        <f>1150+620</f>
        <v>1770</v>
      </c>
      <c r="N298" s="151">
        <v>0</v>
      </c>
      <c r="O298" s="151">
        <f aca="true" t="shared" si="11" ref="O298:O329">L298+M298+N298</f>
        <v>1770</v>
      </c>
    </row>
    <row r="299" spans="1:15" ht="15" customHeight="1">
      <c r="A299" s="832"/>
      <c r="B299" s="806"/>
      <c r="C299" s="792"/>
      <c r="D299" s="15">
        <v>1</v>
      </c>
      <c r="E299" s="22"/>
      <c r="F299" s="22">
        <v>1</v>
      </c>
      <c r="G299" s="22">
        <v>1</v>
      </c>
      <c r="H299" s="22"/>
      <c r="I299" s="234" t="s">
        <v>212</v>
      </c>
      <c r="J299" s="222" t="s">
        <v>115</v>
      </c>
      <c r="K299" s="15">
        <v>2001</v>
      </c>
      <c r="L299" s="151">
        <v>1680</v>
      </c>
      <c r="M299" s="151">
        <v>0</v>
      </c>
      <c r="N299" s="151">
        <v>0</v>
      </c>
      <c r="O299" s="151">
        <f t="shared" si="11"/>
        <v>1680</v>
      </c>
    </row>
    <row r="300" spans="1:15" ht="15" customHeight="1">
      <c r="A300" s="806"/>
      <c r="B300" s="806"/>
      <c r="C300" s="792"/>
      <c r="D300" s="15">
        <v>1</v>
      </c>
      <c r="E300" s="22">
        <v>1</v>
      </c>
      <c r="F300" s="22"/>
      <c r="G300" s="22">
        <v>1</v>
      </c>
      <c r="H300" s="22"/>
      <c r="I300" s="234" t="s">
        <v>212</v>
      </c>
      <c r="J300" s="33" t="s">
        <v>212</v>
      </c>
      <c r="K300" s="15">
        <v>2005</v>
      </c>
      <c r="L300" s="151">
        <v>150</v>
      </c>
      <c r="M300" s="151">
        <v>0</v>
      </c>
      <c r="N300" s="151">
        <v>0</v>
      </c>
      <c r="O300" s="151">
        <f t="shared" si="11"/>
        <v>150</v>
      </c>
    </row>
    <row r="301" spans="1:15" ht="15" customHeight="1">
      <c r="A301" s="806"/>
      <c r="B301" s="806"/>
      <c r="C301" s="792"/>
      <c r="D301" s="15">
        <v>1</v>
      </c>
      <c r="E301" s="22"/>
      <c r="F301" s="22">
        <v>1</v>
      </c>
      <c r="G301" s="22">
        <v>1</v>
      </c>
      <c r="H301" s="22"/>
      <c r="I301" s="234" t="s">
        <v>212</v>
      </c>
      <c r="J301" s="222" t="s">
        <v>212</v>
      </c>
      <c r="K301" s="15">
        <v>2003</v>
      </c>
      <c r="L301" s="151">
        <v>1185.12</v>
      </c>
      <c r="M301" s="151">
        <f>3215.5+1501</f>
        <v>4716.5</v>
      </c>
      <c r="N301" s="151">
        <v>0</v>
      </c>
      <c r="O301" s="151">
        <f t="shared" si="11"/>
        <v>5901.62</v>
      </c>
    </row>
    <row r="302" spans="1:15" ht="15" customHeight="1">
      <c r="A302" s="806"/>
      <c r="B302" s="806"/>
      <c r="C302" s="792"/>
      <c r="D302" s="15">
        <v>1</v>
      </c>
      <c r="E302" s="22"/>
      <c r="F302" s="22">
        <v>1</v>
      </c>
      <c r="G302" s="22">
        <v>1</v>
      </c>
      <c r="H302" s="22"/>
      <c r="I302" s="234" t="s">
        <v>212</v>
      </c>
      <c r="J302" s="222" t="s">
        <v>212</v>
      </c>
      <c r="K302" s="15">
        <v>2007</v>
      </c>
      <c r="L302" s="151">
        <v>1000</v>
      </c>
      <c r="M302" s="151">
        <v>250</v>
      </c>
      <c r="N302" s="151">
        <v>0</v>
      </c>
      <c r="O302" s="151">
        <f t="shared" si="11"/>
        <v>1250</v>
      </c>
    </row>
    <row r="303" spans="1:15" ht="15" customHeight="1">
      <c r="A303" s="806"/>
      <c r="B303" s="806"/>
      <c r="C303" s="792"/>
      <c r="D303" s="15">
        <v>1</v>
      </c>
      <c r="E303" s="22"/>
      <c r="F303" s="22">
        <v>1</v>
      </c>
      <c r="G303" s="22">
        <v>1</v>
      </c>
      <c r="H303" s="22"/>
      <c r="I303" s="234" t="s">
        <v>212</v>
      </c>
      <c r="J303" s="222" t="s">
        <v>212</v>
      </c>
      <c r="K303" s="15">
        <v>2005</v>
      </c>
      <c r="L303" s="151">
        <v>308</v>
      </c>
      <c r="M303" s="151">
        <v>0</v>
      </c>
      <c r="N303" s="151">
        <v>0</v>
      </c>
      <c r="O303" s="151">
        <f t="shared" si="11"/>
        <v>308</v>
      </c>
    </row>
    <row r="304" spans="1:15" ht="15" customHeight="1">
      <c r="A304" s="806"/>
      <c r="B304" s="806"/>
      <c r="C304" s="792"/>
      <c r="D304" s="15">
        <v>1</v>
      </c>
      <c r="E304" s="22"/>
      <c r="F304" s="22">
        <v>1</v>
      </c>
      <c r="G304" s="22"/>
      <c r="H304" s="22">
        <v>1</v>
      </c>
      <c r="I304" s="235" t="s">
        <v>168</v>
      </c>
      <c r="J304" s="34" t="s">
        <v>168</v>
      </c>
      <c r="K304" s="15">
        <v>2005</v>
      </c>
      <c r="L304" s="151">
        <v>200</v>
      </c>
      <c r="M304" s="151">
        <v>0</v>
      </c>
      <c r="N304" s="151">
        <v>0</v>
      </c>
      <c r="O304" s="151">
        <f t="shared" si="11"/>
        <v>200</v>
      </c>
    </row>
    <row r="305" spans="1:15" ht="15" customHeight="1">
      <c r="A305" s="806"/>
      <c r="B305" s="806"/>
      <c r="C305" s="792"/>
      <c r="D305" s="15">
        <v>1</v>
      </c>
      <c r="E305" s="22">
        <v>1</v>
      </c>
      <c r="F305" s="22"/>
      <c r="G305" s="22">
        <v>1</v>
      </c>
      <c r="H305" s="22"/>
      <c r="I305" s="22" t="s">
        <v>212</v>
      </c>
      <c r="J305" s="222" t="s">
        <v>212</v>
      </c>
      <c r="K305" s="15">
        <v>2004</v>
      </c>
      <c r="L305" s="151">
        <v>0</v>
      </c>
      <c r="M305" s="151">
        <v>470</v>
      </c>
      <c r="N305" s="151">
        <v>0</v>
      </c>
      <c r="O305" s="151">
        <f t="shared" si="11"/>
        <v>470</v>
      </c>
    </row>
    <row r="306" spans="1:15" ht="15" customHeight="1">
      <c r="A306" s="806"/>
      <c r="B306" s="806"/>
      <c r="C306" s="792"/>
      <c r="D306" s="15">
        <v>1</v>
      </c>
      <c r="E306" s="22">
        <v>1</v>
      </c>
      <c r="F306" s="22"/>
      <c r="G306" s="22"/>
      <c r="H306" s="22">
        <v>1</v>
      </c>
      <c r="I306" s="234" t="s">
        <v>212</v>
      </c>
      <c r="J306" s="222" t="s">
        <v>20</v>
      </c>
      <c r="K306" s="15">
        <v>1997</v>
      </c>
      <c r="L306" s="151">
        <v>0</v>
      </c>
      <c r="M306" s="151">
        <v>2850</v>
      </c>
      <c r="N306" s="151">
        <v>100</v>
      </c>
      <c r="O306" s="151">
        <f t="shared" si="11"/>
        <v>2950</v>
      </c>
    </row>
    <row r="307" spans="1:15" ht="15" customHeight="1">
      <c r="A307" s="806"/>
      <c r="B307" s="806"/>
      <c r="C307" s="792"/>
      <c r="D307" s="15">
        <v>1</v>
      </c>
      <c r="E307" s="22">
        <v>1</v>
      </c>
      <c r="F307" s="22"/>
      <c r="G307" s="22">
        <v>1</v>
      </c>
      <c r="H307" s="22"/>
      <c r="I307" s="234" t="s">
        <v>212</v>
      </c>
      <c r="J307" s="222" t="s">
        <v>212</v>
      </c>
      <c r="K307" s="15">
        <v>1999</v>
      </c>
      <c r="L307" s="151">
        <v>112</v>
      </c>
      <c r="M307" s="151">
        <v>0</v>
      </c>
      <c r="N307" s="151">
        <v>0</v>
      </c>
      <c r="O307" s="151">
        <f t="shared" si="11"/>
        <v>112</v>
      </c>
    </row>
    <row r="308" spans="1:15" ht="15" customHeight="1">
      <c r="A308" s="806"/>
      <c r="B308" s="806"/>
      <c r="C308" s="792"/>
      <c r="D308" s="15">
        <v>1</v>
      </c>
      <c r="E308" s="22"/>
      <c r="F308" s="22">
        <v>1</v>
      </c>
      <c r="G308" s="22">
        <v>1</v>
      </c>
      <c r="H308" s="22"/>
      <c r="I308" s="234" t="s">
        <v>212</v>
      </c>
      <c r="J308" s="222" t="s">
        <v>212</v>
      </c>
      <c r="K308" s="15">
        <v>2000</v>
      </c>
      <c r="L308" s="151">
        <v>178</v>
      </c>
      <c r="M308" s="151">
        <v>1230</v>
      </c>
      <c r="N308" s="151">
        <v>0</v>
      </c>
      <c r="O308" s="151">
        <f t="shared" si="11"/>
        <v>1408</v>
      </c>
    </row>
    <row r="309" spans="1:15" ht="15" customHeight="1">
      <c r="A309" s="806"/>
      <c r="B309" s="806"/>
      <c r="C309" s="792"/>
      <c r="D309" s="15">
        <v>1</v>
      </c>
      <c r="E309" s="22">
        <v>1</v>
      </c>
      <c r="F309" s="22"/>
      <c r="G309" s="22"/>
      <c r="H309" s="22">
        <v>1</v>
      </c>
      <c r="I309" s="234" t="s">
        <v>223</v>
      </c>
      <c r="J309" s="222" t="s">
        <v>223</v>
      </c>
      <c r="K309" s="15">
        <v>1999</v>
      </c>
      <c r="L309" s="151">
        <v>200</v>
      </c>
      <c r="M309" s="151">
        <v>0</v>
      </c>
      <c r="N309" s="151">
        <v>0</v>
      </c>
      <c r="O309" s="151">
        <f t="shared" si="11"/>
        <v>200</v>
      </c>
    </row>
    <row r="310" spans="1:15" ht="15" customHeight="1">
      <c r="A310" s="806"/>
      <c r="B310" s="806"/>
      <c r="C310" s="792"/>
      <c r="D310" s="15">
        <v>1</v>
      </c>
      <c r="E310" s="22">
        <v>1</v>
      </c>
      <c r="F310" s="22"/>
      <c r="G310" s="22"/>
      <c r="H310" s="22">
        <v>1</v>
      </c>
      <c r="I310" s="234" t="s">
        <v>18</v>
      </c>
      <c r="J310" s="222" t="s">
        <v>18</v>
      </c>
      <c r="K310" s="15">
        <v>1997</v>
      </c>
      <c r="L310" s="151">
        <v>0</v>
      </c>
      <c r="M310" s="151">
        <v>7640</v>
      </c>
      <c r="N310" s="151">
        <v>0</v>
      </c>
      <c r="O310" s="151">
        <f t="shared" si="11"/>
        <v>7640</v>
      </c>
    </row>
    <row r="311" spans="1:15" ht="15" customHeight="1">
      <c r="A311" s="806"/>
      <c r="B311" s="806"/>
      <c r="C311" s="792"/>
      <c r="D311" s="15">
        <v>1</v>
      </c>
      <c r="E311" s="22">
        <v>1</v>
      </c>
      <c r="F311" s="22"/>
      <c r="G311" s="22"/>
      <c r="H311" s="22">
        <v>1</v>
      </c>
      <c r="I311" s="234" t="s">
        <v>212</v>
      </c>
      <c r="J311" s="222" t="s">
        <v>18</v>
      </c>
      <c r="K311" s="15">
        <v>2008</v>
      </c>
      <c r="L311" s="151">
        <v>0</v>
      </c>
      <c r="M311" s="151">
        <v>0</v>
      </c>
      <c r="N311" s="151">
        <f>445+900</f>
        <v>1345</v>
      </c>
      <c r="O311" s="151">
        <f t="shared" si="11"/>
        <v>1345</v>
      </c>
    </row>
    <row r="312" spans="1:15" ht="15" customHeight="1">
      <c r="A312" s="806"/>
      <c r="B312" s="806"/>
      <c r="C312" s="792"/>
      <c r="D312" s="15">
        <v>1</v>
      </c>
      <c r="E312" s="22">
        <v>1</v>
      </c>
      <c r="F312" s="22"/>
      <c r="G312" s="22"/>
      <c r="H312" s="22">
        <v>1</v>
      </c>
      <c r="I312" s="234" t="s">
        <v>212</v>
      </c>
      <c r="J312" s="222" t="s">
        <v>18</v>
      </c>
      <c r="K312" s="15">
        <v>1997</v>
      </c>
      <c r="L312" s="151">
        <v>200</v>
      </c>
      <c r="M312" s="151">
        <v>0</v>
      </c>
      <c r="N312" s="151">
        <v>0</v>
      </c>
      <c r="O312" s="151">
        <f t="shared" si="11"/>
        <v>200</v>
      </c>
    </row>
    <row r="313" spans="1:15" ht="15" customHeight="1">
      <c r="A313" s="806"/>
      <c r="B313" s="806"/>
      <c r="C313" s="792"/>
      <c r="D313" s="15">
        <v>1</v>
      </c>
      <c r="E313" s="22"/>
      <c r="F313" s="22">
        <v>1</v>
      </c>
      <c r="G313" s="22">
        <v>1</v>
      </c>
      <c r="H313" s="22"/>
      <c r="I313" s="234" t="s">
        <v>212</v>
      </c>
      <c r="J313" s="222" t="s">
        <v>212</v>
      </c>
      <c r="K313" s="15">
        <v>1996</v>
      </c>
      <c r="L313" s="151">
        <v>180</v>
      </c>
      <c r="M313" s="151">
        <v>0</v>
      </c>
      <c r="N313" s="151">
        <v>0</v>
      </c>
      <c r="O313" s="151">
        <f t="shared" si="11"/>
        <v>180</v>
      </c>
    </row>
    <row r="314" spans="1:15" ht="15" customHeight="1">
      <c r="A314" s="806"/>
      <c r="B314" s="806"/>
      <c r="C314" s="792"/>
      <c r="D314" s="15">
        <v>1</v>
      </c>
      <c r="E314" s="22">
        <v>1</v>
      </c>
      <c r="F314" s="22"/>
      <c r="G314" s="22"/>
      <c r="H314" s="22">
        <v>1</v>
      </c>
      <c r="I314" s="234" t="s">
        <v>212</v>
      </c>
      <c r="J314" s="222" t="s">
        <v>326</v>
      </c>
      <c r="K314" s="15">
        <v>2011</v>
      </c>
      <c r="L314" s="151">
        <v>114</v>
      </c>
      <c r="M314" s="151">
        <v>0</v>
      </c>
      <c r="N314" s="151">
        <v>0</v>
      </c>
      <c r="O314" s="151">
        <f t="shared" si="11"/>
        <v>114</v>
      </c>
    </row>
    <row r="315" spans="1:15" ht="15" customHeight="1">
      <c r="A315" s="806"/>
      <c r="B315" s="806"/>
      <c r="C315" s="792"/>
      <c r="D315" s="15">
        <v>1</v>
      </c>
      <c r="E315" s="22"/>
      <c r="F315" s="22">
        <v>1</v>
      </c>
      <c r="G315" s="22"/>
      <c r="H315" s="22">
        <v>1</v>
      </c>
      <c r="I315" s="222" t="s">
        <v>171</v>
      </c>
      <c r="J315" s="222" t="s">
        <v>171</v>
      </c>
      <c r="K315" s="15">
        <v>1999</v>
      </c>
      <c r="L315" s="151">
        <v>0</v>
      </c>
      <c r="M315" s="151">
        <v>0</v>
      </c>
      <c r="N315" s="151">
        <v>420</v>
      </c>
      <c r="O315" s="151">
        <f t="shared" si="11"/>
        <v>420</v>
      </c>
    </row>
    <row r="316" spans="1:15" ht="15" customHeight="1">
      <c r="A316" s="806"/>
      <c r="B316" s="806"/>
      <c r="C316" s="792"/>
      <c r="D316" s="15">
        <v>1</v>
      </c>
      <c r="E316" s="22"/>
      <c r="F316" s="22">
        <v>1</v>
      </c>
      <c r="G316" s="22"/>
      <c r="H316" s="22">
        <v>1</v>
      </c>
      <c r="I316" s="234" t="s">
        <v>212</v>
      </c>
      <c r="J316" s="222" t="s">
        <v>171</v>
      </c>
      <c r="K316" s="15">
        <v>2008</v>
      </c>
      <c r="L316" s="151">
        <v>0</v>
      </c>
      <c r="M316" s="151">
        <v>1500</v>
      </c>
      <c r="N316" s="151">
        <v>410</v>
      </c>
      <c r="O316" s="151">
        <f t="shared" si="11"/>
        <v>1910</v>
      </c>
    </row>
    <row r="317" spans="1:15" ht="15" customHeight="1">
      <c r="A317" s="806"/>
      <c r="B317" s="806"/>
      <c r="C317" s="792"/>
      <c r="D317" s="15">
        <v>1</v>
      </c>
      <c r="E317" s="22"/>
      <c r="F317" s="22">
        <v>1</v>
      </c>
      <c r="G317" s="22"/>
      <c r="H317" s="22">
        <v>1</v>
      </c>
      <c r="I317" s="234" t="s">
        <v>18</v>
      </c>
      <c r="J317" s="222" t="s">
        <v>18</v>
      </c>
      <c r="K317" s="15">
        <v>2003</v>
      </c>
      <c r="L317" s="151">
        <v>0</v>
      </c>
      <c r="M317" s="151">
        <v>8239</v>
      </c>
      <c r="N317" s="151">
        <v>0</v>
      </c>
      <c r="O317" s="151">
        <f t="shared" si="11"/>
        <v>8239</v>
      </c>
    </row>
    <row r="318" spans="1:15" ht="15" customHeight="1">
      <c r="A318" s="806"/>
      <c r="B318" s="806"/>
      <c r="C318" s="792"/>
      <c r="D318" s="15">
        <v>1</v>
      </c>
      <c r="E318" s="22"/>
      <c r="F318" s="22">
        <v>1</v>
      </c>
      <c r="G318" s="22"/>
      <c r="H318" s="22">
        <v>1</v>
      </c>
      <c r="I318" s="235" t="s">
        <v>18</v>
      </c>
      <c r="J318" s="222" t="s">
        <v>18</v>
      </c>
      <c r="K318" s="15">
        <v>2009</v>
      </c>
      <c r="L318" s="151">
        <v>0</v>
      </c>
      <c r="M318" s="151">
        <v>0</v>
      </c>
      <c r="N318" s="151">
        <v>150</v>
      </c>
      <c r="O318" s="151">
        <f t="shared" si="11"/>
        <v>150</v>
      </c>
    </row>
    <row r="319" spans="1:15" ht="15" customHeight="1">
      <c r="A319" s="806"/>
      <c r="B319" s="806"/>
      <c r="C319" s="792"/>
      <c r="D319" s="15">
        <v>1</v>
      </c>
      <c r="E319" s="22">
        <v>1</v>
      </c>
      <c r="F319" s="22"/>
      <c r="G319" s="22">
        <v>1</v>
      </c>
      <c r="H319" s="22"/>
      <c r="I319" s="22" t="s">
        <v>212</v>
      </c>
      <c r="J319" s="234" t="s">
        <v>443</v>
      </c>
      <c r="K319" s="15">
        <v>2003</v>
      </c>
      <c r="L319" s="151">
        <v>0</v>
      </c>
      <c r="M319" s="151">
        <v>600</v>
      </c>
      <c r="N319" s="151">
        <v>0</v>
      </c>
      <c r="O319" s="151">
        <f t="shared" si="11"/>
        <v>600</v>
      </c>
    </row>
    <row r="320" spans="1:15" ht="15" customHeight="1">
      <c r="A320" s="806"/>
      <c r="B320" s="806"/>
      <c r="C320" s="792"/>
      <c r="D320" s="15">
        <v>1</v>
      </c>
      <c r="E320" s="15"/>
      <c r="F320" s="22">
        <v>1</v>
      </c>
      <c r="G320" s="22">
        <v>1</v>
      </c>
      <c r="H320" s="22"/>
      <c r="I320" s="385" t="s">
        <v>212</v>
      </c>
      <c r="J320" s="222" t="s">
        <v>129</v>
      </c>
      <c r="K320" s="15">
        <v>1996</v>
      </c>
      <c r="L320" s="151">
        <v>0</v>
      </c>
      <c r="M320" s="151">
        <v>0</v>
      </c>
      <c r="N320" s="151">
        <v>179</v>
      </c>
      <c r="O320" s="151">
        <f t="shared" si="11"/>
        <v>179</v>
      </c>
    </row>
    <row r="321" spans="1:15" ht="15" customHeight="1">
      <c r="A321" s="806"/>
      <c r="B321" s="806"/>
      <c r="C321" s="792"/>
      <c r="D321" s="15">
        <v>1</v>
      </c>
      <c r="E321" s="22">
        <v>1</v>
      </c>
      <c r="F321" s="22"/>
      <c r="G321" s="22"/>
      <c r="H321" s="22">
        <v>1</v>
      </c>
      <c r="I321" s="234" t="s">
        <v>212</v>
      </c>
      <c r="J321" s="222" t="s">
        <v>18</v>
      </c>
      <c r="K321" s="15">
        <v>2012</v>
      </c>
      <c r="L321" s="151">
        <v>100</v>
      </c>
      <c r="M321" s="151">
        <v>0</v>
      </c>
      <c r="N321" s="151">
        <v>0</v>
      </c>
      <c r="O321" s="151">
        <f t="shared" si="11"/>
        <v>100</v>
      </c>
    </row>
    <row r="322" spans="1:15" ht="15" customHeight="1">
      <c r="A322" s="806"/>
      <c r="B322" s="806"/>
      <c r="C322" s="792"/>
      <c r="D322" s="15">
        <v>1</v>
      </c>
      <c r="E322" s="22">
        <v>1</v>
      </c>
      <c r="F322" s="22"/>
      <c r="G322" s="22"/>
      <c r="H322" s="22">
        <v>1</v>
      </c>
      <c r="I322" s="234" t="s">
        <v>212</v>
      </c>
      <c r="J322" s="222" t="s">
        <v>18</v>
      </c>
      <c r="K322" s="15">
        <v>2000</v>
      </c>
      <c r="L322" s="151">
        <f>1223.88+150</f>
        <v>1373.88</v>
      </c>
      <c r="M322" s="151">
        <f>4774+146.94</f>
        <v>4920.94</v>
      </c>
      <c r="N322" s="151">
        <v>0</v>
      </c>
      <c r="O322" s="151">
        <f t="shared" si="11"/>
        <v>6294.82</v>
      </c>
    </row>
    <row r="323" spans="1:15" ht="15" customHeight="1">
      <c r="A323" s="806"/>
      <c r="B323" s="806"/>
      <c r="C323" s="792"/>
      <c r="D323" s="15">
        <v>1</v>
      </c>
      <c r="E323" s="22"/>
      <c r="F323" s="224">
        <v>1</v>
      </c>
      <c r="G323" s="22"/>
      <c r="H323" s="22">
        <v>1</v>
      </c>
      <c r="I323" s="234" t="s">
        <v>21</v>
      </c>
      <c r="J323" s="222" t="s">
        <v>21</v>
      </c>
      <c r="K323" s="15">
        <v>1996</v>
      </c>
      <c r="L323" s="151">
        <v>470</v>
      </c>
      <c r="M323" s="151">
        <v>0</v>
      </c>
      <c r="N323" s="151">
        <v>250</v>
      </c>
      <c r="O323" s="151">
        <f t="shared" si="11"/>
        <v>720</v>
      </c>
    </row>
    <row r="324" spans="1:15" ht="15" customHeight="1">
      <c r="A324" s="806"/>
      <c r="B324" s="806"/>
      <c r="C324" s="792"/>
      <c r="D324" s="15">
        <v>1</v>
      </c>
      <c r="E324" s="22"/>
      <c r="F324" s="22">
        <v>1</v>
      </c>
      <c r="G324" s="22"/>
      <c r="H324" s="22">
        <v>1</v>
      </c>
      <c r="I324" s="234" t="s">
        <v>212</v>
      </c>
      <c r="J324" s="222" t="s">
        <v>427</v>
      </c>
      <c r="K324" s="15">
        <v>2000</v>
      </c>
      <c r="L324" s="151">
        <v>500</v>
      </c>
      <c r="M324" s="151">
        <v>0</v>
      </c>
      <c r="N324" s="151">
        <v>0</v>
      </c>
      <c r="O324" s="151">
        <f t="shared" si="11"/>
        <v>500</v>
      </c>
    </row>
    <row r="325" spans="1:15" ht="15" customHeight="1">
      <c r="A325" s="806"/>
      <c r="B325" s="806"/>
      <c r="C325" s="792"/>
      <c r="D325" s="15">
        <v>1</v>
      </c>
      <c r="E325" s="22"/>
      <c r="F325" s="22">
        <v>1</v>
      </c>
      <c r="G325" s="22"/>
      <c r="H325" s="22">
        <v>1</v>
      </c>
      <c r="I325" s="247" t="s">
        <v>212</v>
      </c>
      <c r="J325" s="222" t="s">
        <v>18</v>
      </c>
      <c r="K325" s="15">
        <v>2004</v>
      </c>
      <c r="L325" s="151">
        <v>150</v>
      </c>
      <c r="M325" s="151">
        <v>0</v>
      </c>
      <c r="N325" s="151">
        <v>0</v>
      </c>
      <c r="O325" s="151">
        <f t="shared" si="11"/>
        <v>150</v>
      </c>
    </row>
    <row r="326" spans="1:15" ht="15" customHeight="1">
      <c r="A326" s="806"/>
      <c r="B326" s="806"/>
      <c r="C326" s="792"/>
      <c r="D326" s="15">
        <v>1</v>
      </c>
      <c r="E326" s="22">
        <v>1</v>
      </c>
      <c r="F326" s="22"/>
      <c r="G326" s="22"/>
      <c r="H326" s="22">
        <v>1</v>
      </c>
      <c r="I326" s="234" t="s">
        <v>343</v>
      </c>
      <c r="J326" s="222" t="s">
        <v>343</v>
      </c>
      <c r="K326" s="15">
        <v>1999</v>
      </c>
      <c r="L326" s="151">
        <v>650</v>
      </c>
      <c r="M326" s="151">
        <v>0</v>
      </c>
      <c r="N326" s="151">
        <v>0</v>
      </c>
      <c r="O326" s="151">
        <f t="shared" si="11"/>
        <v>650</v>
      </c>
    </row>
    <row r="327" spans="1:15" ht="15" customHeight="1">
      <c r="A327" s="806"/>
      <c r="B327" s="806"/>
      <c r="C327" s="792"/>
      <c r="D327" s="15">
        <v>1</v>
      </c>
      <c r="E327" s="22">
        <v>1</v>
      </c>
      <c r="F327" s="22"/>
      <c r="G327" s="22"/>
      <c r="H327" s="22">
        <v>1</v>
      </c>
      <c r="I327" s="247" t="s">
        <v>212</v>
      </c>
      <c r="J327" s="222" t="s">
        <v>18</v>
      </c>
      <c r="K327" s="15">
        <v>2004</v>
      </c>
      <c r="L327" s="151">
        <v>700</v>
      </c>
      <c r="M327" s="151">
        <v>0</v>
      </c>
      <c r="N327" s="151">
        <v>0</v>
      </c>
      <c r="O327" s="151">
        <f t="shared" si="11"/>
        <v>700</v>
      </c>
    </row>
    <row r="328" spans="1:15" ht="15" customHeight="1">
      <c r="A328" s="806"/>
      <c r="B328" s="806"/>
      <c r="C328" s="792"/>
      <c r="D328" s="15">
        <v>1</v>
      </c>
      <c r="E328" s="22"/>
      <c r="F328" s="22">
        <v>1</v>
      </c>
      <c r="G328" s="22"/>
      <c r="H328" s="22">
        <v>1</v>
      </c>
      <c r="I328" s="222" t="s">
        <v>344</v>
      </c>
      <c r="J328" s="222" t="s">
        <v>20</v>
      </c>
      <c r="K328" s="15">
        <v>2008</v>
      </c>
      <c r="L328" s="151">
        <v>0</v>
      </c>
      <c r="M328" s="151">
        <v>4500</v>
      </c>
      <c r="N328" s="151">
        <v>0</v>
      </c>
      <c r="O328" s="151">
        <f t="shared" si="11"/>
        <v>4500</v>
      </c>
    </row>
    <row r="329" spans="1:15" ht="15" customHeight="1">
      <c r="A329" s="806"/>
      <c r="B329" s="806"/>
      <c r="C329" s="792"/>
      <c r="D329" s="15">
        <v>1</v>
      </c>
      <c r="E329" s="22">
        <v>1</v>
      </c>
      <c r="F329" s="22"/>
      <c r="G329" s="22">
        <v>1</v>
      </c>
      <c r="H329" s="22"/>
      <c r="I329" s="247" t="s">
        <v>212</v>
      </c>
      <c r="J329" s="247" t="s">
        <v>212</v>
      </c>
      <c r="K329" s="15">
        <v>2002</v>
      </c>
      <c r="L329" s="151">
        <v>0</v>
      </c>
      <c r="M329" s="151">
        <v>2500</v>
      </c>
      <c r="N329" s="151">
        <v>0</v>
      </c>
      <c r="O329" s="151">
        <f t="shared" si="11"/>
        <v>2500</v>
      </c>
    </row>
    <row r="330" spans="1:15" ht="15" customHeight="1">
      <c r="A330" s="806"/>
      <c r="B330" s="806"/>
      <c r="C330" s="792"/>
      <c r="D330" s="15">
        <v>1</v>
      </c>
      <c r="E330" s="22"/>
      <c r="F330" s="22">
        <v>1</v>
      </c>
      <c r="G330" s="22"/>
      <c r="H330" s="22">
        <v>1</v>
      </c>
      <c r="I330" s="247" t="s">
        <v>212</v>
      </c>
      <c r="J330" s="222" t="s">
        <v>20</v>
      </c>
      <c r="K330" s="15">
        <v>2000</v>
      </c>
      <c r="L330" s="151">
        <v>300</v>
      </c>
      <c r="M330" s="151">
        <v>0</v>
      </c>
      <c r="N330" s="151">
        <v>0</v>
      </c>
      <c r="O330" s="151">
        <f aca="true" t="shared" si="12" ref="O330:O350">L330+M330+N330</f>
        <v>300</v>
      </c>
    </row>
    <row r="331" spans="1:15" ht="15" customHeight="1">
      <c r="A331" s="806"/>
      <c r="B331" s="806"/>
      <c r="C331" s="792"/>
      <c r="D331" s="15">
        <v>1</v>
      </c>
      <c r="E331" s="22">
        <v>1</v>
      </c>
      <c r="F331" s="22"/>
      <c r="G331" s="22"/>
      <c r="H331" s="22">
        <v>1</v>
      </c>
      <c r="I331" s="222" t="s">
        <v>77</v>
      </c>
      <c r="J331" s="222" t="s">
        <v>77</v>
      </c>
      <c r="K331" s="15">
        <v>1999</v>
      </c>
      <c r="L331" s="151">
        <v>0</v>
      </c>
      <c r="M331" s="151">
        <v>167</v>
      </c>
      <c r="N331" s="151">
        <v>0</v>
      </c>
      <c r="O331" s="151">
        <f t="shared" si="12"/>
        <v>167</v>
      </c>
    </row>
    <row r="332" spans="1:15" ht="15" customHeight="1">
      <c r="A332" s="806"/>
      <c r="B332" s="806"/>
      <c r="C332" s="792"/>
      <c r="D332" s="15">
        <v>1</v>
      </c>
      <c r="E332" s="22">
        <v>1</v>
      </c>
      <c r="F332" s="22"/>
      <c r="G332" s="22">
        <v>1</v>
      </c>
      <c r="H332" s="22"/>
      <c r="I332" s="222" t="s">
        <v>212</v>
      </c>
      <c r="J332" s="222" t="s">
        <v>212</v>
      </c>
      <c r="K332" s="15">
        <v>2005</v>
      </c>
      <c r="L332" s="151">
        <v>367</v>
      </c>
      <c r="M332" s="151">
        <v>300</v>
      </c>
      <c r="N332" s="151">
        <v>0</v>
      </c>
      <c r="O332" s="151">
        <f t="shared" si="12"/>
        <v>667</v>
      </c>
    </row>
    <row r="333" spans="1:15" ht="15" customHeight="1">
      <c r="A333" s="806"/>
      <c r="B333" s="806"/>
      <c r="C333" s="792"/>
      <c r="D333" s="15">
        <v>1</v>
      </c>
      <c r="E333" s="22"/>
      <c r="F333" s="22">
        <v>1</v>
      </c>
      <c r="G333" s="22">
        <v>1</v>
      </c>
      <c r="H333" s="22"/>
      <c r="I333" s="222" t="s">
        <v>212</v>
      </c>
      <c r="J333" s="222" t="s">
        <v>212</v>
      </c>
      <c r="K333" s="15">
        <v>2005</v>
      </c>
      <c r="L333" s="151">
        <v>242</v>
      </c>
      <c r="M333" s="151">
        <v>0</v>
      </c>
      <c r="N333" s="151">
        <v>0</v>
      </c>
      <c r="O333" s="151">
        <f t="shared" si="12"/>
        <v>242</v>
      </c>
    </row>
    <row r="334" spans="1:15" ht="15" customHeight="1">
      <c r="A334" s="806"/>
      <c r="B334" s="806"/>
      <c r="C334" s="792"/>
      <c r="D334" s="22">
        <v>1</v>
      </c>
      <c r="E334" s="22">
        <v>1</v>
      </c>
      <c r="F334" s="22"/>
      <c r="G334" s="22">
        <v>1</v>
      </c>
      <c r="H334" s="222"/>
      <c r="I334" s="222" t="s">
        <v>212</v>
      </c>
      <c r="J334" s="222" t="s">
        <v>110</v>
      </c>
      <c r="K334" s="15">
        <v>1999</v>
      </c>
      <c r="L334" s="151">
        <v>0</v>
      </c>
      <c r="M334" s="151">
        <v>2475.39</v>
      </c>
      <c r="N334" s="151">
        <v>0</v>
      </c>
      <c r="O334" s="151">
        <f t="shared" si="12"/>
        <v>2475.39</v>
      </c>
    </row>
    <row r="335" spans="1:15" ht="15" customHeight="1">
      <c r="A335" s="806"/>
      <c r="B335" s="806"/>
      <c r="C335" s="792"/>
      <c r="D335" s="15">
        <v>1</v>
      </c>
      <c r="E335" s="22">
        <v>1</v>
      </c>
      <c r="F335" s="22"/>
      <c r="G335" s="22"/>
      <c r="H335" s="22">
        <v>1</v>
      </c>
      <c r="I335" s="234" t="s">
        <v>343</v>
      </c>
      <c r="J335" s="222" t="s">
        <v>343</v>
      </c>
      <c r="K335" s="15">
        <v>2000</v>
      </c>
      <c r="L335" s="151">
        <v>0</v>
      </c>
      <c r="M335" s="151">
        <v>3720</v>
      </c>
      <c r="N335" s="151">
        <v>0</v>
      </c>
      <c r="O335" s="151">
        <f t="shared" si="12"/>
        <v>3720</v>
      </c>
    </row>
    <row r="336" spans="1:15" ht="15" customHeight="1">
      <c r="A336" s="791"/>
      <c r="B336" s="806"/>
      <c r="C336" s="792"/>
      <c r="D336" s="15">
        <v>1</v>
      </c>
      <c r="E336" s="22">
        <v>1</v>
      </c>
      <c r="F336" s="22"/>
      <c r="G336" s="22"/>
      <c r="H336" s="22">
        <v>1</v>
      </c>
      <c r="I336" s="276" t="s">
        <v>343</v>
      </c>
      <c r="J336" s="222" t="s">
        <v>343</v>
      </c>
      <c r="K336" s="15">
        <v>1996</v>
      </c>
      <c r="L336" s="151">
        <v>0</v>
      </c>
      <c r="M336" s="151">
        <v>1700</v>
      </c>
      <c r="N336" s="151">
        <v>0</v>
      </c>
      <c r="O336" s="151">
        <f t="shared" si="12"/>
        <v>1700</v>
      </c>
    </row>
    <row r="337" spans="1:15" ht="15" customHeight="1">
      <c r="A337" s="806"/>
      <c r="B337" s="806"/>
      <c r="C337" s="792"/>
      <c r="D337" s="15">
        <v>1</v>
      </c>
      <c r="E337" s="22">
        <v>1</v>
      </c>
      <c r="F337" s="22"/>
      <c r="G337" s="22">
        <v>1</v>
      </c>
      <c r="H337" s="22"/>
      <c r="I337" s="222" t="s">
        <v>212</v>
      </c>
      <c r="J337" s="222" t="s">
        <v>212</v>
      </c>
      <c r="K337" s="15">
        <v>2005</v>
      </c>
      <c r="L337" s="151">
        <v>411</v>
      </c>
      <c r="M337" s="151">
        <v>0</v>
      </c>
      <c r="N337" s="151">
        <v>0</v>
      </c>
      <c r="O337" s="151">
        <f t="shared" si="12"/>
        <v>411</v>
      </c>
    </row>
    <row r="338" spans="1:15" ht="15" customHeight="1">
      <c r="A338" s="806"/>
      <c r="B338" s="806"/>
      <c r="C338" s="792"/>
      <c r="D338" s="15">
        <v>1</v>
      </c>
      <c r="E338" s="22">
        <v>1</v>
      </c>
      <c r="F338" s="22"/>
      <c r="G338" s="22">
        <v>1</v>
      </c>
      <c r="H338" s="22"/>
      <c r="I338" s="222" t="s">
        <v>212</v>
      </c>
      <c r="J338" s="222" t="s">
        <v>212</v>
      </c>
      <c r="K338" s="15">
        <v>2002</v>
      </c>
      <c r="L338" s="151">
        <v>1070</v>
      </c>
      <c r="M338" s="151">
        <v>100</v>
      </c>
      <c r="N338" s="151">
        <v>0</v>
      </c>
      <c r="O338" s="151">
        <f t="shared" si="12"/>
        <v>1170</v>
      </c>
    </row>
    <row r="339" spans="1:15" ht="15" customHeight="1">
      <c r="A339" s="806"/>
      <c r="B339" s="806"/>
      <c r="C339" s="792"/>
      <c r="D339" s="15">
        <v>1</v>
      </c>
      <c r="E339" s="22"/>
      <c r="F339" s="22">
        <v>1</v>
      </c>
      <c r="G339" s="22"/>
      <c r="H339" s="22">
        <v>1</v>
      </c>
      <c r="I339" s="222" t="s">
        <v>212</v>
      </c>
      <c r="J339" s="222" t="s">
        <v>18</v>
      </c>
      <c r="K339" s="15">
        <v>2011</v>
      </c>
      <c r="L339" s="151">
        <v>900</v>
      </c>
      <c r="M339" s="151">
        <v>175.62</v>
      </c>
      <c r="N339" s="151">
        <v>0</v>
      </c>
      <c r="O339" s="151">
        <f t="shared" si="12"/>
        <v>1075.62</v>
      </c>
    </row>
    <row r="340" spans="1:15" ht="15" customHeight="1">
      <c r="A340" s="806"/>
      <c r="B340" s="806"/>
      <c r="C340" s="792"/>
      <c r="D340" s="15">
        <v>1</v>
      </c>
      <c r="E340" s="22">
        <v>1</v>
      </c>
      <c r="F340" s="22"/>
      <c r="G340" s="22">
        <v>1</v>
      </c>
      <c r="H340" s="22"/>
      <c r="I340" s="222" t="s">
        <v>212</v>
      </c>
      <c r="J340" s="222" t="s">
        <v>212</v>
      </c>
      <c r="K340" s="15">
        <v>1998</v>
      </c>
      <c r="L340" s="151">
        <v>0</v>
      </c>
      <c r="M340" s="151">
        <v>0</v>
      </c>
      <c r="N340" s="151">
        <v>240</v>
      </c>
      <c r="O340" s="151">
        <f t="shared" si="12"/>
        <v>240</v>
      </c>
    </row>
    <row r="341" spans="1:15" ht="15" customHeight="1">
      <c r="A341" s="806"/>
      <c r="B341" s="806"/>
      <c r="C341" s="792"/>
      <c r="D341" s="15">
        <v>1</v>
      </c>
      <c r="E341" s="22">
        <v>1</v>
      </c>
      <c r="F341" s="22"/>
      <c r="G341" s="22"/>
      <c r="H341" s="22">
        <v>1</v>
      </c>
      <c r="I341" s="234" t="s">
        <v>212</v>
      </c>
      <c r="J341" s="222" t="s">
        <v>18</v>
      </c>
      <c r="K341" s="15">
        <v>2010</v>
      </c>
      <c r="L341" s="151">
        <v>1943</v>
      </c>
      <c r="M341" s="151">
        <v>0</v>
      </c>
      <c r="N341" s="151">
        <v>0</v>
      </c>
      <c r="O341" s="151">
        <f t="shared" si="12"/>
        <v>1943</v>
      </c>
    </row>
    <row r="342" spans="1:15" ht="15" customHeight="1">
      <c r="A342" s="806"/>
      <c r="B342" s="806"/>
      <c r="C342" s="792"/>
      <c r="D342" s="15">
        <v>1</v>
      </c>
      <c r="E342" s="22"/>
      <c r="F342" s="22">
        <v>1</v>
      </c>
      <c r="G342" s="28"/>
      <c r="H342" s="28">
        <v>1</v>
      </c>
      <c r="I342" s="234" t="s">
        <v>212</v>
      </c>
      <c r="J342" s="222" t="s">
        <v>327</v>
      </c>
      <c r="K342" s="15">
        <v>2003</v>
      </c>
      <c r="L342" s="151">
        <v>0</v>
      </c>
      <c r="M342" s="151">
        <v>4200</v>
      </c>
      <c r="N342" s="151">
        <v>0</v>
      </c>
      <c r="O342" s="151">
        <f t="shared" si="12"/>
        <v>4200</v>
      </c>
    </row>
    <row r="343" spans="1:15" ht="15" customHeight="1">
      <c r="A343" s="806"/>
      <c r="B343" s="806"/>
      <c r="C343" s="792"/>
      <c r="D343" s="15">
        <v>1</v>
      </c>
      <c r="E343" s="22"/>
      <c r="F343" s="22">
        <v>1</v>
      </c>
      <c r="G343" s="22">
        <v>1</v>
      </c>
      <c r="H343" s="222"/>
      <c r="I343" s="222" t="s">
        <v>212</v>
      </c>
      <c r="J343" s="222" t="s">
        <v>212</v>
      </c>
      <c r="K343" s="15">
        <v>2003</v>
      </c>
      <c r="L343" s="151">
        <v>0</v>
      </c>
      <c r="M343" s="151">
        <v>6960</v>
      </c>
      <c r="N343" s="151">
        <v>0</v>
      </c>
      <c r="O343" s="151">
        <f t="shared" si="12"/>
        <v>6960</v>
      </c>
    </row>
    <row r="344" spans="1:15" ht="15" customHeight="1">
      <c r="A344" s="806"/>
      <c r="B344" s="806"/>
      <c r="C344" s="792"/>
      <c r="D344" s="15">
        <v>1</v>
      </c>
      <c r="E344" s="22">
        <v>1</v>
      </c>
      <c r="F344" s="22"/>
      <c r="G344" s="22">
        <v>1</v>
      </c>
      <c r="H344" s="22"/>
      <c r="I344" s="22" t="s">
        <v>212</v>
      </c>
      <c r="J344" s="222" t="s">
        <v>423</v>
      </c>
      <c r="K344" s="15">
        <v>2006</v>
      </c>
      <c r="L344" s="151">
        <v>1092.1</v>
      </c>
      <c r="M344" s="151">
        <v>187.38</v>
      </c>
      <c r="N344" s="151">
        <v>0</v>
      </c>
      <c r="O344" s="151">
        <f t="shared" si="12"/>
        <v>1279.48</v>
      </c>
    </row>
    <row r="345" spans="1:15" ht="15" customHeight="1">
      <c r="A345" s="806"/>
      <c r="B345" s="806"/>
      <c r="C345" s="792"/>
      <c r="D345" s="15">
        <v>1</v>
      </c>
      <c r="E345" s="22">
        <v>1</v>
      </c>
      <c r="F345" s="22"/>
      <c r="G345" s="22">
        <v>1</v>
      </c>
      <c r="H345" s="22"/>
      <c r="I345" s="22" t="s">
        <v>212</v>
      </c>
      <c r="J345" s="222" t="s">
        <v>501</v>
      </c>
      <c r="K345" s="15">
        <v>1998</v>
      </c>
      <c r="L345" s="151">
        <v>403</v>
      </c>
      <c r="M345" s="151">
        <v>0</v>
      </c>
      <c r="N345" s="151">
        <v>0</v>
      </c>
      <c r="O345" s="151">
        <f t="shared" si="12"/>
        <v>403</v>
      </c>
    </row>
    <row r="346" spans="1:15" ht="15" customHeight="1">
      <c r="A346" s="806"/>
      <c r="B346" s="806"/>
      <c r="C346" s="792"/>
      <c r="D346" s="15">
        <v>1</v>
      </c>
      <c r="E346" s="22">
        <v>1</v>
      </c>
      <c r="F346" s="22"/>
      <c r="G346" s="22"/>
      <c r="H346" s="22">
        <v>1</v>
      </c>
      <c r="I346" s="234" t="s">
        <v>212</v>
      </c>
      <c r="J346" s="222" t="s">
        <v>343</v>
      </c>
      <c r="K346" s="15">
        <v>2002</v>
      </c>
      <c r="L346" s="151">
        <v>0</v>
      </c>
      <c r="M346" s="151">
        <v>0</v>
      </c>
      <c r="N346" s="151">
        <v>1554.34</v>
      </c>
      <c r="O346" s="151">
        <f t="shared" si="12"/>
        <v>1554.34</v>
      </c>
    </row>
    <row r="347" spans="1:15" ht="15" customHeight="1">
      <c r="A347" s="809"/>
      <c r="B347" s="809"/>
      <c r="C347" s="792"/>
      <c r="D347" s="69">
        <v>1</v>
      </c>
      <c r="E347" s="28">
        <v>1</v>
      </c>
      <c r="F347" s="28"/>
      <c r="G347" s="22">
        <v>1</v>
      </c>
      <c r="H347" s="22"/>
      <c r="I347" s="234" t="s">
        <v>212</v>
      </c>
      <c r="J347" s="403" t="s">
        <v>134</v>
      </c>
      <c r="K347" s="69">
        <v>2007</v>
      </c>
      <c r="L347" s="167">
        <f>1150+200</f>
        <v>1350</v>
      </c>
      <c r="M347" s="167">
        <v>905</v>
      </c>
      <c r="N347" s="151">
        <v>0</v>
      </c>
      <c r="O347" s="151">
        <f t="shared" si="12"/>
        <v>2255</v>
      </c>
    </row>
    <row r="348" spans="1:15" ht="15" customHeight="1">
      <c r="A348" s="791"/>
      <c r="B348" s="791"/>
      <c r="C348" s="792"/>
      <c r="D348" s="69">
        <v>1</v>
      </c>
      <c r="E348" s="22"/>
      <c r="F348" s="22">
        <v>1</v>
      </c>
      <c r="G348" s="22"/>
      <c r="H348" s="22">
        <v>1</v>
      </c>
      <c r="I348" s="22" t="s">
        <v>18</v>
      </c>
      <c r="J348" s="222" t="s">
        <v>18</v>
      </c>
      <c r="K348" s="69">
        <v>2003</v>
      </c>
      <c r="L348" s="167">
        <f>350+400+567.96</f>
        <v>1317.96</v>
      </c>
      <c r="M348" s="167">
        <v>0</v>
      </c>
      <c r="N348" s="151">
        <v>0</v>
      </c>
      <c r="O348" s="151">
        <f t="shared" si="12"/>
        <v>1317.96</v>
      </c>
    </row>
    <row r="349" spans="1:15" ht="30" customHeight="1">
      <c r="A349" s="1090" t="s">
        <v>399</v>
      </c>
      <c r="B349" s="1091"/>
      <c r="C349" s="43"/>
      <c r="D349" s="15"/>
      <c r="E349" s="15"/>
      <c r="F349" s="15"/>
      <c r="G349" s="15"/>
      <c r="H349" s="498"/>
      <c r="I349" s="126"/>
      <c r="J349" s="43"/>
      <c r="K349" s="15"/>
      <c r="L349" s="151">
        <v>0</v>
      </c>
      <c r="M349" s="151">
        <v>0</v>
      </c>
      <c r="N349" s="151">
        <f>9605+1125</f>
        <v>10730</v>
      </c>
      <c r="O349" s="151">
        <f t="shared" si="12"/>
        <v>10730</v>
      </c>
    </row>
    <row r="350" spans="1:15" ht="30" customHeight="1">
      <c r="A350" s="1077" t="s">
        <v>254</v>
      </c>
      <c r="B350" s="1078"/>
      <c r="C350" s="43"/>
      <c r="D350" s="15"/>
      <c r="E350" s="15"/>
      <c r="F350" s="15"/>
      <c r="G350" s="15"/>
      <c r="H350" s="499"/>
      <c r="I350" s="264"/>
      <c r="J350" s="43"/>
      <c r="K350" s="15"/>
      <c r="L350" s="151">
        <v>0</v>
      </c>
      <c r="M350" s="151">
        <v>0</v>
      </c>
      <c r="N350" s="151">
        <v>5979.32</v>
      </c>
      <c r="O350" s="151">
        <f t="shared" si="12"/>
        <v>5979.32</v>
      </c>
    </row>
    <row r="351" spans="1:15" s="161" customFormat="1" ht="15" customHeight="1">
      <c r="A351" s="1036" t="s">
        <v>328</v>
      </c>
      <c r="B351" s="1036"/>
      <c r="C351" s="256"/>
      <c r="D351" s="108">
        <f>SUM(D298:D350)</f>
        <v>51</v>
      </c>
      <c r="E351" s="108">
        <f>SUM(E298:E350)</f>
        <v>28</v>
      </c>
      <c r="F351" s="108">
        <f>SUM(F298:F350)</f>
        <v>23</v>
      </c>
      <c r="G351" s="108">
        <f>SUM(G298:G350)</f>
        <v>22</v>
      </c>
      <c r="H351" s="108">
        <f>SUM(H298:H350)</f>
        <v>29</v>
      </c>
      <c r="I351" s="109"/>
      <c r="J351" s="256"/>
      <c r="K351" s="109"/>
      <c r="L351" s="149">
        <f>SUM(L298:L350)</f>
        <v>18847.059999999998</v>
      </c>
      <c r="M351" s="149">
        <f>SUM(M298:M350)</f>
        <v>62076.83</v>
      </c>
      <c r="N351" s="149">
        <f>SUM(N298:N350)</f>
        <v>21357.66</v>
      </c>
      <c r="O351" s="149">
        <f>SUM(O298:O350)</f>
        <v>102281.54999999999</v>
      </c>
    </row>
    <row r="352" spans="1:15" s="51" customFormat="1" ht="15" customHeight="1">
      <c r="A352" s="1083" t="s">
        <v>250</v>
      </c>
      <c r="B352" s="1084"/>
      <c r="C352" s="42"/>
      <c r="D352" s="19"/>
      <c r="E352" s="19"/>
      <c r="F352" s="19"/>
      <c r="G352" s="19"/>
      <c r="H352" s="251"/>
      <c r="I352" s="57"/>
      <c r="J352" s="42"/>
      <c r="K352" s="19"/>
      <c r="L352" s="160"/>
      <c r="M352" s="164"/>
      <c r="N352" s="164"/>
      <c r="O352" s="153"/>
    </row>
    <row r="353" spans="1:15" s="50" customFormat="1" ht="48" customHeight="1">
      <c r="A353" s="39" t="s">
        <v>332</v>
      </c>
      <c r="B353" s="39" t="s">
        <v>333</v>
      </c>
      <c r="C353" s="39" t="s">
        <v>213</v>
      </c>
      <c r="D353" s="115" t="s">
        <v>36</v>
      </c>
      <c r="E353" s="115" t="s">
        <v>73</v>
      </c>
      <c r="F353" s="115" t="s">
        <v>74</v>
      </c>
      <c r="G353" s="115" t="s">
        <v>37</v>
      </c>
      <c r="H353" s="268" t="s">
        <v>38</v>
      </c>
      <c r="I353" s="39" t="s">
        <v>15</v>
      </c>
      <c r="J353" s="115" t="s">
        <v>214</v>
      </c>
      <c r="K353" s="115" t="s">
        <v>39</v>
      </c>
      <c r="L353" s="130" t="s">
        <v>63</v>
      </c>
      <c r="M353" s="130" t="s">
        <v>149</v>
      </c>
      <c r="N353" s="130" t="s">
        <v>167</v>
      </c>
      <c r="O353" s="130" t="s">
        <v>58</v>
      </c>
    </row>
    <row r="354" spans="1:15" s="265" customFormat="1" ht="15" customHeight="1">
      <c r="A354" s="802"/>
      <c r="B354" s="802"/>
      <c r="C354" s="792"/>
      <c r="D354" s="134">
        <v>1</v>
      </c>
      <c r="E354" s="77">
        <v>1</v>
      </c>
      <c r="F354" s="86"/>
      <c r="G354" s="86"/>
      <c r="H354" s="77">
        <v>1</v>
      </c>
      <c r="I354" s="222" t="s">
        <v>212</v>
      </c>
      <c r="J354" s="222" t="s">
        <v>427</v>
      </c>
      <c r="K354" s="77">
        <v>2006</v>
      </c>
      <c r="L354" s="145">
        <f>620+150</f>
        <v>770</v>
      </c>
      <c r="M354" s="145">
        <v>500</v>
      </c>
      <c r="N354" s="145">
        <v>0</v>
      </c>
      <c r="O354" s="151">
        <f>L354+M354+N354</f>
        <v>1270</v>
      </c>
    </row>
    <row r="355" spans="1:15" s="265" customFormat="1" ht="15" customHeight="1">
      <c r="A355" s="802"/>
      <c r="B355" s="802"/>
      <c r="C355" s="792"/>
      <c r="D355" s="134">
        <v>1</v>
      </c>
      <c r="E355" s="77">
        <v>1</v>
      </c>
      <c r="F355" s="86"/>
      <c r="G355" s="86"/>
      <c r="H355" s="77">
        <v>1</v>
      </c>
      <c r="I355" s="222" t="s">
        <v>212</v>
      </c>
      <c r="J355" s="222" t="s">
        <v>427</v>
      </c>
      <c r="K355" s="77">
        <v>1998</v>
      </c>
      <c r="L355" s="145">
        <v>1210</v>
      </c>
      <c r="M355" s="145">
        <v>400</v>
      </c>
      <c r="N355" s="145">
        <v>0</v>
      </c>
      <c r="O355" s="151">
        <f>L355+M355+N355</f>
        <v>1610</v>
      </c>
    </row>
    <row r="356" spans="1:15" s="265" customFormat="1" ht="15" customHeight="1">
      <c r="A356" s="802"/>
      <c r="B356" s="802"/>
      <c r="C356" s="792"/>
      <c r="D356" s="134">
        <v>1</v>
      </c>
      <c r="E356" s="77">
        <v>1</v>
      </c>
      <c r="F356" s="86"/>
      <c r="G356" s="86"/>
      <c r="H356" s="77">
        <v>1</v>
      </c>
      <c r="I356" s="222" t="s">
        <v>212</v>
      </c>
      <c r="J356" s="222" t="s">
        <v>427</v>
      </c>
      <c r="K356" s="77">
        <v>2002</v>
      </c>
      <c r="L356" s="145">
        <v>140</v>
      </c>
      <c r="M356" s="145">
        <v>0</v>
      </c>
      <c r="N356" s="145">
        <v>0</v>
      </c>
      <c r="O356" s="151">
        <f>L356+M356+N356</f>
        <v>140</v>
      </c>
    </row>
    <row r="357" spans="1:15" s="161" customFormat="1" ht="15" customHeight="1">
      <c r="A357" s="1058" t="s">
        <v>251</v>
      </c>
      <c r="B357" s="1059"/>
      <c r="C357" s="256"/>
      <c r="D357" s="108">
        <f>SUM(D354:D356)</f>
        <v>3</v>
      </c>
      <c r="E357" s="120">
        <f>SUM(E354:E356)</f>
        <v>3</v>
      </c>
      <c r="F357" s="120">
        <f>SUM(F354:F356)</f>
        <v>0</v>
      </c>
      <c r="G357" s="109"/>
      <c r="H357" s="120">
        <f>SUM(H354:H356)</f>
        <v>3</v>
      </c>
      <c r="I357" s="109"/>
      <c r="J357" s="256"/>
      <c r="K357" s="109"/>
      <c r="L357" s="149">
        <f>SUM(L354:L356)</f>
        <v>2120</v>
      </c>
      <c r="M357" s="149">
        <f>SUM(M354:M356)</f>
        <v>900</v>
      </c>
      <c r="N357" s="149">
        <f>SUM(N354:N356)</f>
        <v>0</v>
      </c>
      <c r="O357" s="149">
        <f>SUM(O354:O356)</f>
        <v>3020</v>
      </c>
    </row>
    <row r="358" spans="1:15" s="162" customFormat="1" ht="15" customHeight="1">
      <c r="A358" s="1085" t="s">
        <v>227</v>
      </c>
      <c r="B358" s="1086"/>
      <c r="C358" s="266"/>
      <c r="D358" s="101">
        <f>D357+D351+D295+D284+D244+D233+D209+D163+D149+D22</f>
        <v>318</v>
      </c>
      <c r="E358" s="101">
        <f>E357+E351+E295+E284+E244+E233+E209+E163+E149+E22</f>
        <v>165</v>
      </c>
      <c r="F358" s="101">
        <f>F357+F351+F295+F284+F244+F233+F209+F163+F149+F22</f>
        <v>153</v>
      </c>
      <c r="G358" s="101">
        <f>G357+G351+G295+G284+G244+G233+G209+G163+G149+G22</f>
        <v>109</v>
      </c>
      <c r="H358" s="101">
        <f>H357+H351+H295+H284+H244+H233+H209+H163+H149+H22</f>
        <v>209</v>
      </c>
      <c r="I358" s="100"/>
      <c r="J358" s="266"/>
      <c r="K358" s="107"/>
      <c r="L358" s="150">
        <f>L357+L351+L295+L284+L244+L233+L209+L163+L149+L22</f>
        <v>111605.41999999998</v>
      </c>
      <c r="M358" s="150">
        <f>M357+M351+M295+M284+M244+M233+M209+M163+M149+M22</f>
        <v>127966.73</v>
      </c>
      <c r="N358" s="150">
        <f>N357+N351+N295+N284+N244+N233+N209+N163+N149+N22</f>
        <v>53613.66</v>
      </c>
      <c r="O358" s="150">
        <f>O357+O351+O295+O284+O244+O233+O209+O163+O149+O22</f>
        <v>293185.80999999994</v>
      </c>
    </row>
    <row r="365" ht="12.75">
      <c r="D365" s="24" t="s">
        <v>345</v>
      </c>
    </row>
  </sheetData>
  <mergeCells count="30">
    <mergeCell ref="A352:B352"/>
    <mergeCell ref="A357:B357"/>
    <mergeCell ref="A358:B358"/>
    <mergeCell ref="A285:B285"/>
    <mergeCell ref="A295:B295"/>
    <mergeCell ref="A296:B296"/>
    <mergeCell ref="A351:B351"/>
    <mergeCell ref="A293:B293"/>
    <mergeCell ref="A294:B294"/>
    <mergeCell ref="A349:B349"/>
    <mergeCell ref="A350:B350"/>
    <mergeCell ref="A234:B234"/>
    <mergeCell ref="A244:B244"/>
    <mergeCell ref="A245:B245"/>
    <mergeCell ref="A284:B284"/>
    <mergeCell ref="A164:B164"/>
    <mergeCell ref="A209:B209"/>
    <mergeCell ref="A210:B210"/>
    <mergeCell ref="A233:B233"/>
    <mergeCell ref="A208:B208"/>
    <mergeCell ref="A23:B23"/>
    <mergeCell ref="A149:B149"/>
    <mergeCell ref="A150:B150"/>
    <mergeCell ref="A163:B163"/>
    <mergeCell ref="A147:B147"/>
    <mergeCell ref="A148:B148"/>
    <mergeCell ref="A1:O1"/>
    <mergeCell ref="A2:O2"/>
    <mergeCell ref="A3:B3"/>
    <mergeCell ref="A22:B2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7"/>
  </sheetPr>
  <dimension ref="A1:L91"/>
  <sheetViews>
    <sheetView workbookViewId="0" topLeftCell="A64">
      <selection activeCell="A72" sqref="A72:C83"/>
    </sheetView>
  </sheetViews>
  <sheetFormatPr defaultColWidth="9.140625" defaultRowHeight="12.75"/>
  <cols>
    <col min="1" max="3" width="20.7109375" style="24" customWidth="1"/>
    <col min="4" max="4" width="7.57421875" style="24" customWidth="1"/>
    <col min="5" max="6" width="5.7109375" style="24" customWidth="1"/>
    <col min="7" max="8" width="9.7109375" style="24" customWidth="1"/>
    <col min="9" max="9" width="13.7109375" style="24" customWidth="1"/>
    <col min="10" max="10" width="18.7109375" style="24" customWidth="1"/>
    <col min="11" max="11" width="10.140625" style="24" customWidth="1"/>
    <col min="12" max="12" width="20.7109375" style="25" customWidth="1"/>
    <col min="13" max="16384" width="11.57421875" style="54" customWidth="1"/>
  </cols>
  <sheetData>
    <row r="1" spans="1:12" s="48" customFormat="1" ht="30" customHeight="1">
      <c r="A1" s="1093" t="s">
        <v>403</v>
      </c>
      <c r="B1" s="1094"/>
      <c r="C1" s="1094"/>
      <c r="D1" s="1094"/>
      <c r="E1" s="1094"/>
      <c r="F1" s="1094"/>
      <c r="G1" s="1094"/>
      <c r="H1" s="1094"/>
      <c r="I1" s="1094"/>
      <c r="J1" s="1094"/>
      <c r="K1" s="1094"/>
      <c r="L1" s="458">
        <v>40071157</v>
      </c>
    </row>
    <row r="2" spans="1:12" s="49" customFormat="1" ht="48.75" customHeight="1">
      <c r="A2" s="1044" t="s">
        <v>35</v>
      </c>
      <c r="B2" s="1044"/>
      <c r="C2" s="1044"/>
      <c r="D2" s="1092"/>
      <c r="E2" s="1092"/>
      <c r="F2" s="1092"/>
      <c r="G2" s="1092"/>
      <c r="H2" s="1092"/>
      <c r="I2" s="1092"/>
      <c r="J2" s="1092"/>
      <c r="K2" s="1092"/>
      <c r="L2" s="1092"/>
    </row>
    <row r="3" spans="1:12" ht="15" customHeight="1">
      <c r="A3" s="1051" t="s">
        <v>66</v>
      </c>
      <c r="B3" s="1051"/>
      <c r="C3" s="138"/>
      <c r="D3" s="248"/>
      <c r="E3" s="117"/>
      <c r="F3" s="117"/>
      <c r="G3" s="117"/>
      <c r="H3" s="117"/>
      <c r="I3" s="117"/>
      <c r="J3" s="117"/>
      <c r="K3" s="115"/>
      <c r="L3" s="277"/>
    </row>
    <row r="4" spans="1:12" s="50" customFormat="1" ht="48" customHeight="1">
      <c r="A4" s="39" t="s">
        <v>332</v>
      </c>
      <c r="B4" s="39" t="s">
        <v>333</v>
      </c>
      <c r="C4" s="39" t="s">
        <v>213</v>
      </c>
      <c r="D4" s="115" t="s">
        <v>36</v>
      </c>
      <c r="E4" s="115" t="s">
        <v>73</v>
      </c>
      <c r="F4" s="115" t="s">
        <v>74</v>
      </c>
      <c r="G4" s="115" t="s">
        <v>37</v>
      </c>
      <c r="H4" s="268" t="s">
        <v>38</v>
      </c>
      <c r="I4" s="39" t="s">
        <v>15</v>
      </c>
      <c r="J4" s="115" t="s">
        <v>214</v>
      </c>
      <c r="K4" s="115" t="s">
        <v>39</v>
      </c>
      <c r="L4" s="130" t="s">
        <v>58</v>
      </c>
    </row>
    <row r="5" spans="1:12" s="63" customFormat="1" ht="15" customHeight="1">
      <c r="A5" s="791"/>
      <c r="B5" s="791"/>
      <c r="C5" s="790"/>
      <c r="D5" s="21">
        <v>1</v>
      </c>
      <c r="E5" s="21"/>
      <c r="F5" s="380">
        <v>1</v>
      </c>
      <c r="G5" s="21"/>
      <c r="H5" s="21">
        <v>1</v>
      </c>
      <c r="I5" s="469" t="s">
        <v>212</v>
      </c>
      <c r="J5" s="469" t="s">
        <v>31</v>
      </c>
      <c r="K5" s="21">
        <v>1994</v>
      </c>
      <c r="L5" s="145">
        <v>377.4</v>
      </c>
    </row>
    <row r="6" spans="1:12" s="63" customFormat="1" ht="15" customHeight="1">
      <c r="A6" s="791"/>
      <c r="B6" s="791"/>
      <c r="C6" s="790"/>
      <c r="D6" s="21">
        <v>1</v>
      </c>
      <c r="E6" s="21">
        <v>1</v>
      </c>
      <c r="F6" s="21"/>
      <c r="G6" s="21"/>
      <c r="H6" s="380">
        <v>1</v>
      </c>
      <c r="I6" s="469" t="s">
        <v>18</v>
      </c>
      <c r="J6" s="469" t="s">
        <v>18</v>
      </c>
      <c r="K6" s="21">
        <v>1995</v>
      </c>
      <c r="L6" s="145">
        <v>192</v>
      </c>
    </row>
    <row r="7" spans="1:12" s="63" customFormat="1" ht="15" customHeight="1">
      <c r="A7" s="786"/>
      <c r="B7" s="786"/>
      <c r="C7" s="790"/>
      <c r="D7" s="21">
        <v>1</v>
      </c>
      <c r="E7" s="380">
        <v>1</v>
      </c>
      <c r="F7" s="380"/>
      <c r="G7" s="380"/>
      <c r="H7" s="380">
        <v>1</v>
      </c>
      <c r="I7" s="469" t="s">
        <v>18</v>
      </c>
      <c r="J7" s="469" t="s">
        <v>18</v>
      </c>
      <c r="K7" s="21">
        <v>1995</v>
      </c>
      <c r="L7" s="145">
        <v>744</v>
      </c>
    </row>
    <row r="8" spans="1:12" s="63" customFormat="1" ht="15" customHeight="1">
      <c r="A8" s="791"/>
      <c r="B8" s="791"/>
      <c r="C8" s="790"/>
      <c r="D8" s="21">
        <v>1</v>
      </c>
      <c r="E8" s="380">
        <v>1</v>
      </c>
      <c r="F8" s="21"/>
      <c r="G8" s="21"/>
      <c r="H8" s="380">
        <v>1</v>
      </c>
      <c r="I8" s="21" t="s">
        <v>18</v>
      </c>
      <c r="J8" s="21" t="s">
        <v>18</v>
      </c>
      <c r="K8" s="21">
        <v>1995</v>
      </c>
      <c r="L8" s="145">
        <v>352.8</v>
      </c>
    </row>
    <row r="9" spans="1:12" s="63" customFormat="1" ht="15" customHeight="1">
      <c r="A9" s="791"/>
      <c r="B9" s="791"/>
      <c r="C9" s="833"/>
      <c r="D9" s="21">
        <v>1</v>
      </c>
      <c r="E9" s="380">
        <v>1</v>
      </c>
      <c r="F9" s="380"/>
      <c r="G9" s="380"/>
      <c r="H9" s="380">
        <v>1</v>
      </c>
      <c r="I9" s="469" t="s">
        <v>212</v>
      </c>
      <c r="J9" s="469" t="s">
        <v>31</v>
      </c>
      <c r="K9" s="21">
        <v>1995</v>
      </c>
      <c r="L9" s="145">
        <v>281.6</v>
      </c>
    </row>
    <row r="10" spans="1:12" s="64" customFormat="1" ht="15" customHeight="1">
      <c r="A10" s="1036" t="s">
        <v>75</v>
      </c>
      <c r="B10" s="1036"/>
      <c r="C10" s="120"/>
      <c r="D10" s="120">
        <f>SUM(D5:D9)</f>
        <v>5</v>
      </c>
      <c r="E10" s="120">
        <f>SUM(E5:E9)</f>
        <v>4</v>
      </c>
      <c r="F10" s="120">
        <f>SUM(F5:F9)</f>
        <v>1</v>
      </c>
      <c r="G10" s="120">
        <f>SUM(G5:G9)</f>
        <v>0</v>
      </c>
      <c r="H10" s="120">
        <f>SUM(H5:H9)</f>
        <v>5</v>
      </c>
      <c r="I10" s="120"/>
      <c r="J10" s="37"/>
      <c r="K10" s="37"/>
      <c r="L10" s="149">
        <f>SUM(L5:L9)</f>
        <v>1947.8000000000002</v>
      </c>
    </row>
    <row r="11" spans="1:12" s="51" customFormat="1" ht="15" customHeight="1">
      <c r="A11" s="1047" t="s">
        <v>64</v>
      </c>
      <c r="B11" s="1047"/>
      <c r="C11" s="19"/>
      <c r="D11" s="19"/>
      <c r="E11" s="19"/>
      <c r="F11" s="19"/>
      <c r="G11" s="19"/>
      <c r="H11" s="19"/>
      <c r="I11" s="19"/>
      <c r="J11" s="19"/>
      <c r="K11" s="19"/>
      <c r="L11" s="164"/>
    </row>
    <row r="12" spans="1:12" s="50" customFormat="1" ht="48" customHeight="1">
      <c r="A12" s="39" t="s">
        <v>332</v>
      </c>
      <c r="B12" s="39" t="s">
        <v>333</v>
      </c>
      <c r="C12" s="39" t="s">
        <v>213</v>
      </c>
      <c r="D12" s="115" t="s">
        <v>36</v>
      </c>
      <c r="E12" s="115" t="s">
        <v>73</v>
      </c>
      <c r="F12" s="115" t="s">
        <v>74</v>
      </c>
      <c r="G12" s="115" t="s">
        <v>37</v>
      </c>
      <c r="H12" s="268" t="s">
        <v>38</v>
      </c>
      <c r="I12" s="39" t="s">
        <v>15</v>
      </c>
      <c r="J12" s="115" t="s">
        <v>214</v>
      </c>
      <c r="K12" s="115" t="s">
        <v>39</v>
      </c>
      <c r="L12" s="130" t="s">
        <v>58</v>
      </c>
    </row>
    <row r="13" spans="1:12" s="80" customFormat="1" ht="15" customHeight="1">
      <c r="A13" s="791"/>
      <c r="B13" s="791"/>
      <c r="C13" s="790"/>
      <c r="D13" s="22">
        <v>1</v>
      </c>
      <c r="E13" s="22">
        <v>1</v>
      </c>
      <c r="F13" s="22"/>
      <c r="G13" s="22">
        <v>1</v>
      </c>
      <c r="H13" s="22"/>
      <c r="I13" s="22" t="s">
        <v>212</v>
      </c>
      <c r="J13" s="22" t="s">
        <v>212</v>
      </c>
      <c r="K13" s="22">
        <v>1996</v>
      </c>
      <c r="L13" s="145">
        <v>52.5</v>
      </c>
    </row>
    <row r="14" spans="1:12" s="80" customFormat="1" ht="15" customHeight="1">
      <c r="A14" s="791"/>
      <c r="B14" s="791"/>
      <c r="C14" s="790"/>
      <c r="D14" s="22">
        <v>1</v>
      </c>
      <c r="E14" s="22">
        <v>1</v>
      </c>
      <c r="F14" s="22"/>
      <c r="G14" s="22"/>
      <c r="H14" s="22">
        <v>1</v>
      </c>
      <c r="I14" s="22" t="s">
        <v>343</v>
      </c>
      <c r="J14" s="15" t="s">
        <v>343</v>
      </c>
      <c r="K14" s="22">
        <v>1995</v>
      </c>
      <c r="L14" s="145">
        <v>264</v>
      </c>
    </row>
    <row r="15" spans="1:12" s="80" customFormat="1" ht="15" customHeight="1">
      <c r="A15" s="791"/>
      <c r="B15" s="791"/>
      <c r="C15" s="790"/>
      <c r="D15" s="22">
        <v>1</v>
      </c>
      <c r="E15" s="22">
        <v>1</v>
      </c>
      <c r="F15" s="22"/>
      <c r="G15" s="22">
        <v>1</v>
      </c>
      <c r="H15" s="22"/>
      <c r="I15" s="22" t="s">
        <v>212</v>
      </c>
      <c r="J15" s="22" t="s">
        <v>212</v>
      </c>
      <c r="K15" s="22">
        <v>1994</v>
      </c>
      <c r="L15" s="145">
        <v>80</v>
      </c>
    </row>
    <row r="16" spans="1:12" s="80" customFormat="1" ht="15" customHeight="1">
      <c r="A16" s="791"/>
      <c r="B16" s="791"/>
      <c r="C16" s="790"/>
      <c r="D16" s="22">
        <v>1</v>
      </c>
      <c r="E16" s="22"/>
      <c r="F16" s="22">
        <v>1</v>
      </c>
      <c r="G16" s="22"/>
      <c r="H16" s="22">
        <v>1</v>
      </c>
      <c r="I16" s="22" t="s">
        <v>18</v>
      </c>
      <c r="J16" s="22" t="s">
        <v>18</v>
      </c>
      <c r="K16" s="22">
        <v>1996</v>
      </c>
      <c r="L16" s="145">
        <v>132</v>
      </c>
    </row>
    <row r="17" spans="1:12" s="80" customFormat="1" ht="15" customHeight="1">
      <c r="A17" s="791"/>
      <c r="B17" s="791"/>
      <c r="C17" s="790"/>
      <c r="D17" s="22">
        <v>1</v>
      </c>
      <c r="E17" s="22">
        <v>1</v>
      </c>
      <c r="F17" s="22"/>
      <c r="G17" s="22">
        <v>1</v>
      </c>
      <c r="H17" s="22"/>
      <c r="I17" s="22" t="s">
        <v>212</v>
      </c>
      <c r="J17" s="22" t="s">
        <v>212</v>
      </c>
      <c r="K17" s="22">
        <v>1996</v>
      </c>
      <c r="L17" s="145">
        <v>486.4</v>
      </c>
    </row>
    <row r="18" spans="1:12" s="80" customFormat="1" ht="15" customHeight="1">
      <c r="A18" s="791"/>
      <c r="B18" s="791"/>
      <c r="C18" s="790"/>
      <c r="D18" s="22">
        <v>1</v>
      </c>
      <c r="E18" s="22">
        <v>1</v>
      </c>
      <c r="F18" s="22"/>
      <c r="G18" s="22">
        <v>1</v>
      </c>
      <c r="H18" s="22"/>
      <c r="I18" s="22" t="s">
        <v>212</v>
      </c>
      <c r="J18" s="622" t="s">
        <v>368</v>
      </c>
      <c r="K18" s="22">
        <v>1994</v>
      </c>
      <c r="L18" s="145">
        <v>1690.2</v>
      </c>
    </row>
    <row r="19" spans="1:12" s="80" customFormat="1" ht="15" customHeight="1">
      <c r="A19" s="791"/>
      <c r="B19" s="791"/>
      <c r="C19" s="790"/>
      <c r="D19" s="22">
        <v>1</v>
      </c>
      <c r="E19" s="38"/>
      <c r="F19" s="22">
        <v>1</v>
      </c>
      <c r="G19" s="22">
        <v>1</v>
      </c>
      <c r="H19" s="22"/>
      <c r="I19" s="22" t="s">
        <v>327</v>
      </c>
      <c r="J19" s="15" t="s">
        <v>327</v>
      </c>
      <c r="K19" s="22">
        <v>1996</v>
      </c>
      <c r="L19" s="145">
        <v>371.2</v>
      </c>
    </row>
    <row r="20" spans="1:12" s="80" customFormat="1" ht="15" customHeight="1">
      <c r="A20" s="791"/>
      <c r="B20" s="791"/>
      <c r="C20" s="790"/>
      <c r="D20" s="22">
        <v>1</v>
      </c>
      <c r="E20" s="22">
        <v>1</v>
      </c>
      <c r="F20" s="22"/>
      <c r="G20" s="22">
        <v>1</v>
      </c>
      <c r="H20" s="22"/>
      <c r="I20" s="22" t="s">
        <v>212</v>
      </c>
      <c r="J20" s="15" t="s">
        <v>212</v>
      </c>
      <c r="K20" s="22">
        <v>1996</v>
      </c>
      <c r="L20" s="145">
        <v>120</v>
      </c>
    </row>
    <row r="21" spans="1:12" s="80" customFormat="1" ht="15" customHeight="1">
      <c r="A21" s="791"/>
      <c r="B21" s="791"/>
      <c r="C21" s="790"/>
      <c r="D21" s="22">
        <v>1</v>
      </c>
      <c r="E21" s="22">
        <v>1</v>
      </c>
      <c r="F21" s="22"/>
      <c r="G21" s="22">
        <v>1</v>
      </c>
      <c r="H21" s="22"/>
      <c r="I21" s="22" t="s">
        <v>212</v>
      </c>
      <c r="J21" s="15" t="s">
        <v>212</v>
      </c>
      <c r="K21" s="22">
        <v>1997</v>
      </c>
      <c r="L21" s="145">
        <v>228</v>
      </c>
    </row>
    <row r="22" spans="1:12" s="80" customFormat="1" ht="15" customHeight="1">
      <c r="A22" s="791"/>
      <c r="B22" s="791"/>
      <c r="C22" s="790"/>
      <c r="D22" s="22">
        <v>1</v>
      </c>
      <c r="E22" s="22"/>
      <c r="F22" s="22">
        <v>1</v>
      </c>
      <c r="G22" s="22">
        <v>1</v>
      </c>
      <c r="H22" s="22"/>
      <c r="I22" s="22" t="s">
        <v>212</v>
      </c>
      <c r="J22" s="15" t="s">
        <v>212</v>
      </c>
      <c r="K22" s="22">
        <v>1994</v>
      </c>
      <c r="L22" s="145">
        <v>203.5</v>
      </c>
    </row>
    <row r="23" spans="1:12" s="80" customFormat="1" ht="15" customHeight="1">
      <c r="A23" s="791"/>
      <c r="B23" s="791"/>
      <c r="C23" s="790"/>
      <c r="D23" s="22">
        <v>1</v>
      </c>
      <c r="E23" s="22"/>
      <c r="F23" s="22">
        <v>1</v>
      </c>
      <c r="G23" s="22">
        <v>1</v>
      </c>
      <c r="H23" s="22"/>
      <c r="I23" s="22" t="s">
        <v>212</v>
      </c>
      <c r="J23" s="22" t="s">
        <v>212</v>
      </c>
      <c r="K23" s="22">
        <v>1995</v>
      </c>
      <c r="L23" s="145">
        <v>180</v>
      </c>
    </row>
    <row r="24" spans="1:12" s="80" customFormat="1" ht="15" customHeight="1">
      <c r="A24" s="791"/>
      <c r="B24" s="791"/>
      <c r="C24" s="790"/>
      <c r="D24" s="22">
        <v>1</v>
      </c>
      <c r="E24" s="22">
        <v>1</v>
      </c>
      <c r="F24" s="22"/>
      <c r="G24" s="22">
        <v>1</v>
      </c>
      <c r="H24" s="22"/>
      <c r="I24" s="22" t="s">
        <v>212</v>
      </c>
      <c r="J24" s="15" t="s">
        <v>212</v>
      </c>
      <c r="K24" s="22">
        <v>1994</v>
      </c>
      <c r="L24" s="145">
        <f>120+204+120</f>
        <v>444</v>
      </c>
    </row>
    <row r="25" spans="1:12" s="80" customFormat="1" ht="15" customHeight="1">
      <c r="A25" s="791"/>
      <c r="B25" s="791"/>
      <c r="C25" s="790"/>
      <c r="D25" s="22">
        <v>1</v>
      </c>
      <c r="E25" s="22">
        <v>1</v>
      </c>
      <c r="F25" s="22"/>
      <c r="G25" s="22">
        <v>1</v>
      </c>
      <c r="H25" s="22"/>
      <c r="I25" s="22" t="s">
        <v>212</v>
      </c>
      <c r="J25" s="22" t="s">
        <v>212</v>
      </c>
      <c r="K25" s="22">
        <v>1995</v>
      </c>
      <c r="L25" s="145">
        <v>92.5</v>
      </c>
    </row>
    <row r="26" spans="1:12" s="80" customFormat="1" ht="13.5" customHeight="1">
      <c r="A26" s="791"/>
      <c r="B26" s="791"/>
      <c r="C26" s="790"/>
      <c r="D26" s="22">
        <v>1</v>
      </c>
      <c r="E26" s="22"/>
      <c r="F26" s="22">
        <v>1</v>
      </c>
      <c r="G26" s="22"/>
      <c r="H26" s="22">
        <v>1</v>
      </c>
      <c r="I26" s="22" t="s">
        <v>343</v>
      </c>
      <c r="J26" s="22" t="s">
        <v>343</v>
      </c>
      <c r="K26" s="22">
        <v>1994</v>
      </c>
      <c r="L26" s="145">
        <f>1258.8+252+120</f>
        <v>1630.8</v>
      </c>
    </row>
    <row r="27" spans="1:12" s="64" customFormat="1" ht="15" customHeight="1">
      <c r="A27" s="1036" t="s">
        <v>8</v>
      </c>
      <c r="B27" s="1036"/>
      <c r="C27" s="120"/>
      <c r="D27" s="120">
        <f>SUM(D13:D26)</f>
        <v>14</v>
      </c>
      <c r="E27" s="120">
        <f>SUM(E13:E26)</f>
        <v>9</v>
      </c>
      <c r="F27" s="120">
        <f>SUM(F13:F26)</f>
        <v>5</v>
      </c>
      <c r="G27" s="120">
        <f>SUM(G13:G26)</f>
        <v>11</v>
      </c>
      <c r="H27" s="120">
        <f>SUM(H13:H26)</f>
        <v>3</v>
      </c>
      <c r="I27" s="120"/>
      <c r="J27" s="120"/>
      <c r="K27" s="120"/>
      <c r="L27" s="149">
        <f>SUM(L13:L26)</f>
        <v>5975.099999999999</v>
      </c>
    </row>
    <row r="28" spans="1:12" s="64" customFormat="1" ht="15" customHeight="1">
      <c r="A28" s="1047" t="s">
        <v>67</v>
      </c>
      <c r="B28" s="1047"/>
      <c r="C28" s="19"/>
      <c r="D28" s="19"/>
      <c r="E28" s="19"/>
      <c r="F28" s="19"/>
      <c r="G28" s="19"/>
      <c r="H28" s="19"/>
      <c r="I28" s="19"/>
      <c r="J28" s="19"/>
      <c r="K28" s="19"/>
      <c r="L28" s="164"/>
    </row>
    <row r="29" spans="1:12" s="64" customFormat="1" ht="48" customHeight="1">
      <c r="A29" s="39" t="s">
        <v>332</v>
      </c>
      <c r="B29" s="39" t="s">
        <v>333</v>
      </c>
      <c r="C29" s="39" t="s">
        <v>213</v>
      </c>
      <c r="D29" s="115" t="s">
        <v>36</v>
      </c>
      <c r="E29" s="115" t="s">
        <v>73</v>
      </c>
      <c r="F29" s="115" t="s">
        <v>74</v>
      </c>
      <c r="G29" s="115" t="s">
        <v>37</v>
      </c>
      <c r="H29" s="268" t="s">
        <v>38</v>
      </c>
      <c r="I29" s="39" t="s">
        <v>15</v>
      </c>
      <c r="J29" s="115" t="s">
        <v>214</v>
      </c>
      <c r="K29" s="115" t="s">
        <v>39</v>
      </c>
      <c r="L29" s="130" t="s">
        <v>58</v>
      </c>
    </row>
    <row r="30" spans="1:12" s="64" customFormat="1" ht="15" customHeight="1">
      <c r="A30" s="1036" t="s">
        <v>95</v>
      </c>
      <c r="B30" s="1036"/>
      <c r="C30" s="120"/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/>
      <c r="J30" s="120"/>
      <c r="K30" s="120"/>
      <c r="L30" s="149"/>
    </row>
    <row r="31" spans="1:12" s="51" customFormat="1" ht="15" customHeight="1">
      <c r="A31" s="1047" t="s">
        <v>68</v>
      </c>
      <c r="B31" s="1047"/>
      <c r="C31" s="19"/>
      <c r="D31" s="19"/>
      <c r="E31" s="19"/>
      <c r="F31" s="19"/>
      <c r="G31" s="19"/>
      <c r="H31" s="19"/>
      <c r="I31" s="19"/>
      <c r="J31" s="19"/>
      <c r="K31" s="19"/>
      <c r="L31" s="170"/>
    </row>
    <row r="32" spans="1:12" s="50" customFormat="1" ht="48" customHeight="1">
      <c r="A32" s="39" t="s">
        <v>332</v>
      </c>
      <c r="B32" s="39" t="s">
        <v>333</v>
      </c>
      <c r="C32" s="39" t="s">
        <v>213</v>
      </c>
      <c r="D32" s="115" t="s">
        <v>36</v>
      </c>
      <c r="E32" s="115" t="s">
        <v>73</v>
      </c>
      <c r="F32" s="115" t="s">
        <v>74</v>
      </c>
      <c r="G32" s="115" t="s">
        <v>37</v>
      </c>
      <c r="H32" s="268" t="s">
        <v>38</v>
      </c>
      <c r="I32" s="39" t="s">
        <v>15</v>
      </c>
      <c r="J32" s="115" t="s">
        <v>214</v>
      </c>
      <c r="K32" s="115" t="s">
        <v>39</v>
      </c>
      <c r="L32" s="130" t="s">
        <v>58</v>
      </c>
    </row>
    <row r="33" spans="1:12" s="63" customFormat="1" ht="15" customHeight="1">
      <c r="A33" s="789"/>
      <c r="B33" s="789"/>
      <c r="C33" s="834"/>
      <c r="D33" s="21">
        <v>1</v>
      </c>
      <c r="E33" s="409">
        <v>1</v>
      </c>
      <c r="F33" s="409"/>
      <c r="G33" s="409">
        <v>1</v>
      </c>
      <c r="H33" s="409"/>
      <c r="I33" s="418" t="s">
        <v>212</v>
      </c>
      <c r="J33" s="418" t="s">
        <v>212</v>
      </c>
      <c r="K33" s="409">
        <v>1995</v>
      </c>
      <c r="L33" s="145">
        <v>80</v>
      </c>
    </row>
    <row r="34" spans="1:12" s="63" customFormat="1" ht="15" customHeight="1">
      <c r="A34" s="793"/>
      <c r="B34" s="793"/>
      <c r="C34" s="800"/>
      <c r="D34" s="21">
        <v>1</v>
      </c>
      <c r="E34" s="409">
        <v>1</v>
      </c>
      <c r="F34" s="409"/>
      <c r="G34" s="22"/>
      <c r="H34" s="22">
        <v>1</v>
      </c>
      <c r="I34" s="429" t="s">
        <v>427</v>
      </c>
      <c r="J34" s="418" t="s">
        <v>427</v>
      </c>
      <c r="K34" s="409">
        <v>1995</v>
      </c>
      <c r="L34" s="145">
        <v>168</v>
      </c>
    </row>
    <row r="35" spans="1:12" s="63" customFormat="1" ht="15" customHeight="1">
      <c r="A35" s="793"/>
      <c r="B35" s="793"/>
      <c r="C35" s="801"/>
      <c r="D35" s="21">
        <v>1</v>
      </c>
      <c r="E35" s="409">
        <v>1</v>
      </c>
      <c r="F35" s="21"/>
      <c r="G35" s="21"/>
      <c r="H35" s="22">
        <v>1</v>
      </c>
      <c r="I35" s="409" t="s">
        <v>212</v>
      </c>
      <c r="J35" s="415" t="s">
        <v>18</v>
      </c>
      <c r="K35" s="409">
        <v>1995</v>
      </c>
      <c r="L35" s="145">
        <v>1176</v>
      </c>
    </row>
    <row r="36" spans="1:12" s="63" customFormat="1" ht="15" customHeight="1">
      <c r="A36" s="793"/>
      <c r="B36" s="793"/>
      <c r="C36" s="801"/>
      <c r="D36" s="21">
        <v>1</v>
      </c>
      <c r="E36" s="409">
        <v>1</v>
      </c>
      <c r="F36" s="21"/>
      <c r="G36" s="21"/>
      <c r="H36" s="22">
        <v>1</v>
      </c>
      <c r="I36" s="429" t="s">
        <v>18</v>
      </c>
      <c r="J36" s="415" t="s">
        <v>18</v>
      </c>
      <c r="K36" s="409">
        <v>1996</v>
      </c>
      <c r="L36" s="145">
        <v>841.6</v>
      </c>
    </row>
    <row r="37" spans="1:12" s="63" customFormat="1" ht="15" customHeight="1">
      <c r="A37" s="794"/>
      <c r="B37" s="793"/>
      <c r="C37" s="800"/>
      <c r="D37" s="21">
        <v>1</v>
      </c>
      <c r="E37" s="409">
        <v>1</v>
      </c>
      <c r="F37" s="409"/>
      <c r="G37" s="21"/>
      <c r="H37" s="22">
        <v>1</v>
      </c>
      <c r="I37" s="429" t="s">
        <v>212</v>
      </c>
      <c r="J37" s="415" t="s">
        <v>460</v>
      </c>
      <c r="K37" s="409">
        <v>1995</v>
      </c>
      <c r="L37" s="145">
        <v>180</v>
      </c>
    </row>
    <row r="38" spans="1:12" s="63" customFormat="1" ht="15" customHeight="1">
      <c r="A38" s="793"/>
      <c r="B38" s="793"/>
      <c r="C38" s="801"/>
      <c r="D38" s="21">
        <v>1</v>
      </c>
      <c r="E38" s="409">
        <v>1</v>
      </c>
      <c r="F38" s="409"/>
      <c r="G38" s="21"/>
      <c r="H38" s="22">
        <v>1</v>
      </c>
      <c r="I38" s="429" t="s">
        <v>212</v>
      </c>
      <c r="J38" s="415" t="s">
        <v>460</v>
      </c>
      <c r="K38" s="409">
        <v>1997</v>
      </c>
      <c r="L38" s="145">
        <v>194</v>
      </c>
    </row>
    <row r="39" spans="1:12" s="63" customFormat="1" ht="15" customHeight="1">
      <c r="A39" s="793"/>
      <c r="B39" s="793"/>
      <c r="C39" s="801"/>
      <c r="D39" s="15">
        <v>1</v>
      </c>
      <c r="E39" s="409">
        <v>1</v>
      </c>
      <c r="F39" s="409"/>
      <c r="G39" s="15"/>
      <c r="H39" s="22">
        <v>1</v>
      </c>
      <c r="I39" s="429" t="s">
        <v>212</v>
      </c>
      <c r="J39" s="415" t="s">
        <v>18</v>
      </c>
      <c r="K39" s="409">
        <v>1995</v>
      </c>
      <c r="L39" s="145">
        <v>108</v>
      </c>
    </row>
    <row r="40" spans="1:12" s="63" customFormat="1" ht="15" customHeight="1">
      <c r="A40" s="793"/>
      <c r="B40" s="793"/>
      <c r="C40" s="800"/>
      <c r="D40" s="21">
        <v>1</v>
      </c>
      <c r="E40" s="409">
        <v>1</v>
      </c>
      <c r="F40" s="409"/>
      <c r="G40" s="409">
        <v>1</v>
      </c>
      <c r="H40" s="409"/>
      <c r="I40" s="429" t="s">
        <v>212</v>
      </c>
      <c r="J40" s="415" t="s">
        <v>212</v>
      </c>
      <c r="K40" s="429">
        <v>1996</v>
      </c>
      <c r="L40" s="145">
        <v>120</v>
      </c>
    </row>
    <row r="41" spans="1:12" s="80" customFormat="1" ht="15" customHeight="1">
      <c r="A41" s="793"/>
      <c r="B41" s="793"/>
      <c r="C41" s="801"/>
      <c r="D41" s="22">
        <v>1</v>
      </c>
      <c r="E41" s="409">
        <v>1</v>
      </c>
      <c r="F41" s="22"/>
      <c r="G41" s="409">
        <v>1</v>
      </c>
      <c r="H41" s="22"/>
      <c r="I41" s="415" t="s">
        <v>212</v>
      </c>
      <c r="J41" s="415" t="s">
        <v>212</v>
      </c>
      <c r="K41" s="409">
        <v>1997</v>
      </c>
      <c r="L41" s="145">
        <v>96</v>
      </c>
    </row>
    <row r="42" spans="1:12" s="80" customFormat="1" ht="15" customHeight="1">
      <c r="A42" s="793"/>
      <c r="B42" s="793"/>
      <c r="C42" s="800"/>
      <c r="D42" s="22">
        <v>1</v>
      </c>
      <c r="E42" s="409">
        <v>1</v>
      </c>
      <c r="F42" s="22"/>
      <c r="G42" s="409">
        <v>1</v>
      </c>
      <c r="H42" s="22"/>
      <c r="I42" s="415" t="s">
        <v>212</v>
      </c>
      <c r="J42" s="415" t="s">
        <v>212</v>
      </c>
      <c r="K42" s="409">
        <v>1997</v>
      </c>
      <c r="L42" s="145">
        <v>80</v>
      </c>
    </row>
    <row r="43" spans="1:12" s="64" customFormat="1" ht="15" customHeight="1">
      <c r="A43" s="1036" t="s">
        <v>478</v>
      </c>
      <c r="B43" s="1036"/>
      <c r="C43" s="120"/>
      <c r="D43" s="120">
        <f>SUM(D33:D42)</f>
        <v>10</v>
      </c>
      <c r="E43" s="120">
        <f>SUM(E33:E42)</f>
        <v>10</v>
      </c>
      <c r="F43" s="120">
        <f>SUM(F33:F42)</f>
        <v>0</v>
      </c>
      <c r="G43" s="120">
        <f>SUM(G33:G42)</f>
        <v>4</v>
      </c>
      <c r="H43" s="120">
        <f>SUM(H33:H42)</f>
        <v>6</v>
      </c>
      <c r="I43" s="120"/>
      <c r="J43" s="109"/>
      <c r="K43" s="109"/>
      <c r="L43" s="149">
        <f>SUM(L33:L42)</f>
        <v>3043.6</v>
      </c>
    </row>
    <row r="44" spans="1:12" s="51" customFormat="1" ht="15" customHeight="1">
      <c r="A44" s="1047" t="s">
        <v>65</v>
      </c>
      <c r="B44" s="1047"/>
      <c r="C44" s="19"/>
      <c r="D44" s="19"/>
      <c r="E44" s="19"/>
      <c r="F44" s="19"/>
      <c r="G44" s="19"/>
      <c r="H44" s="19"/>
      <c r="I44" s="19"/>
      <c r="J44" s="19"/>
      <c r="K44" s="19"/>
      <c r="L44" s="170"/>
    </row>
    <row r="45" spans="1:12" s="50" customFormat="1" ht="48" customHeight="1">
      <c r="A45" s="39" t="s">
        <v>332</v>
      </c>
      <c r="B45" s="39" t="s">
        <v>333</v>
      </c>
      <c r="C45" s="39" t="s">
        <v>213</v>
      </c>
      <c r="D45" s="115" t="s">
        <v>36</v>
      </c>
      <c r="E45" s="115" t="s">
        <v>73</v>
      </c>
      <c r="F45" s="115" t="s">
        <v>74</v>
      </c>
      <c r="G45" s="115" t="s">
        <v>37</v>
      </c>
      <c r="H45" s="268" t="s">
        <v>38</v>
      </c>
      <c r="I45" s="39" t="s">
        <v>15</v>
      </c>
      <c r="J45" s="115" t="s">
        <v>214</v>
      </c>
      <c r="K45" s="115" t="s">
        <v>39</v>
      </c>
      <c r="L45" s="130" t="s">
        <v>58</v>
      </c>
    </row>
    <row r="46" spans="1:12" s="80" customFormat="1" ht="15" customHeight="1">
      <c r="A46" s="789"/>
      <c r="B46" s="789"/>
      <c r="C46" s="835"/>
      <c r="D46" s="22">
        <v>1</v>
      </c>
      <c r="E46" s="409">
        <v>1</v>
      </c>
      <c r="F46" s="409"/>
      <c r="G46" s="409"/>
      <c r="H46" s="409">
        <v>1</v>
      </c>
      <c r="I46" s="415" t="s">
        <v>343</v>
      </c>
      <c r="J46" s="415" t="s">
        <v>343</v>
      </c>
      <c r="K46" s="418">
        <v>1996</v>
      </c>
      <c r="L46" s="145">
        <v>217.6</v>
      </c>
    </row>
    <row r="47" spans="1:12" s="80" customFormat="1" ht="15" customHeight="1">
      <c r="A47" s="793"/>
      <c r="B47" s="793"/>
      <c r="C47" s="801"/>
      <c r="D47" s="22">
        <v>1</v>
      </c>
      <c r="E47" s="409"/>
      <c r="F47" s="409">
        <v>1</v>
      </c>
      <c r="G47" s="15"/>
      <c r="H47" s="78">
        <v>1</v>
      </c>
      <c r="I47" s="415" t="s">
        <v>477</v>
      </c>
      <c r="J47" s="415" t="s">
        <v>477</v>
      </c>
      <c r="K47" s="22">
        <v>1994</v>
      </c>
      <c r="L47" s="145">
        <v>448</v>
      </c>
    </row>
    <row r="48" spans="1:12" s="80" customFormat="1" ht="15" customHeight="1">
      <c r="A48" s="791"/>
      <c r="B48" s="791"/>
      <c r="C48" s="792"/>
      <c r="D48" s="22">
        <v>1</v>
      </c>
      <c r="E48" s="409">
        <v>1</v>
      </c>
      <c r="F48" s="409"/>
      <c r="G48" s="22"/>
      <c r="H48" s="78">
        <v>1</v>
      </c>
      <c r="I48" s="415" t="s">
        <v>343</v>
      </c>
      <c r="J48" s="415" t="s">
        <v>343</v>
      </c>
      <c r="K48" s="418">
        <v>1994</v>
      </c>
      <c r="L48" s="145">
        <v>704</v>
      </c>
    </row>
    <row r="49" spans="1:12" s="80" customFormat="1" ht="15" customHeight="1">
      <c r="A49" s="793"/>
      <c r="B49" s="793"/>
      <c r="C49" s="801"/>
      <c r="D49" s="22">
        <v>1</v>
      </c>
      <c r="E49" s="409"/>
      <c r="F49" s="409">
        <v>1</v>
      </c>
      <c r="G49" s="22"/>
      <c r="H49" s="78">
        <v>1</v>
      </c>
      <c r="I49" s="415" t="s">
        <v>212</v>
      </c>
      <c r="J49" s="415" t="s">
        <v>18</v>
      </c>
      <c r="K49" s="418">
        <v>1997</v>
      </c>
      <c r="L49" s="145">
        <v>276</v>
      </c>
    </row>
    <row r="50" spans="1:12" s="80" customFormat="1" ht="15" customHeight="1">
      <c r="A50" s="793"/>
      <c r="B50" s="793"/>
      <c r="C50" s="801"/>
      <c r="D50" s="22">
        <v>1</v>
      </c>
      <c r="E50" s="409">
        <v>1</v>
      </c>
      <c r="F50" s="409"/>
      <c r="G50" s="22"/>
      <c r="H50" s="78">
        <v>1</v>
      </c>
      <c r="I50" s="409" t="s">
        <v>477</v>
      </c>
      <c r="J50" s="409" t="s">
        <v>477</v>
      </c>
      <c r="K50" s="409">
        <v>1996</v>
      </c>
      <c r="L50" s="145">
        <v>448</v>
      </c>
    </row>
    <row r="51" spans="1:12" s="80" customFormat="1" ht="15" customHeight="1">
      <c r="A51" s="793"/>
      <c r="B51" s="793"/>
      <c r="C51" s="792"/>
      <c r="D51" s="22">
        <v>1</v>
      </c>
      <c r="E51" s="22">
        <v>1</v>
      </c>
      <c r="F51" s="22"/>
      <c r="G51" s="22">
        <v>1</v>
      </c>
      <c r="H51" s="22"/>
      <c r="I51" s="222" t="s">
        <v>212</v>
      </c>
      <c r="J51" s="222" t="s">
        <v>212</v>
      </c>
      <c r="K51" s="22">
        <v>1995</v>
      </c>
      <c r="L51" s="145">
        <v>352</v>
      </c>
    </row>
    <row r="52" spans="1:12" ht="15" customHeight="1">
      <c r="A52" s="1052" t="s">
        <v>340</v>
      </c>
      <c r="B52" s="1052"/>
      <c r="C52" s="107"/>
      <c r="D52" s="107">
        <f>SUM(D46:D51)</f>
        <v>6</v>
      </c>
      <c r="E52" s="107">
        <f>SUM(E46:E51)</f>
        <v>4</v>
      </c>
      <c r="F52" s="107">
        <f>SUM(F46:F51)</f>
        <v>2</v>
      </c>
      <c r="G52" s="107">
        <f>SUM(G46:G51)</f>
        <v>1</v>
      </c>
      <c r="H52" s="107">
        <f>SUM(H46:H51)</f>
        <v>5</v>
      </c>
      <c r="I52" s="107"/>
      <c r="J52" s="107"/>
      <c r="K52" s="107"/>
      <c r="L52" s="149">
        <f>SUM(L46:L51)</f>
        <v>2445.6</v>
      </c>
    </row>
    <row r="53" spans="1:12" s="51" customFormat="1" ht="15" customHeight="1">
      <c r="A53" s="1047" t="s">
        <v>69</v>
      </c>
      <c r="B53" s="1047"/>
      <c r="C53" s="19"/>
      <c r="D53" s="19"/>
      <c r="E53" s="19"/>
      <c r="F53" s="19"/>
      <c r="G53" s="19"/>
      <c r="H53" s="19"/>
      <c r="I53" s="19"/>
      <c r="J53" s="19"/>
      <c r="K53" s="19"/>
      <c r="L53" s="170"/>
    </row>
    <row r="54" spans="1:12" s="50" customFormat="1" ht="48" customHeight="1">
      <c r="A54" s="39" t="s">
        <v>332</v>
      </c>
      <c r="B54" s="39" t="s">
        <v>333</v>
      </c>
      <c r="C54" s="39" t="s">
        <v>213</v>
      </c>
      <c r="D54" s="115" t="s">
        <v>36</v>
      </c>
      <c r="E54" s="115" t="s">
        <v>73</v>
      </c>
      <c r="F54" s="115" t="s">
        <v>74</v>
      </c>
      <c r="G54" s="115" t="s">
        <v>37</v>
      </c>
      <c r="H54" s="268" t="s">
        <v>38</v>
      </c>
      <c r="I54" s="39" t="s">
        <v>15</v>
      </c>
      <c r="J54" s="115" t="s">
        <v>214</v>
      </c>
      <c r="K54" s="115" t="s">
        <v>39</v>
      </c>
      <c r="L54" s="130" t="s">
        <v>58</v>
      </c>
    </row>
    <row r="55" spans="1:12" s="63" customFormat="1" ht="15" customHeight="1">
      <c r="A55" s="789"/>
      <c r="B55" s="789"/>
      <c r="C55" s="835"/>
      <c r="D55" s="21">
        <v>1</v>
      </c>
      <c r="E55" s="429"/>
      <c r="F55" s="429">
        <v>1</v>
      </c>
      <c r="G55" s="22">
        <v>1</v>
      </c>
      <c r="H55" s="22"/>
      <c r="I55" s="429" t="s">
        <v>212</v>
      </c>
      <c r="J55" s="429" t="s">
        <v>212</v>
      </c>
      <c r="K55" s="429">
        <v>1994</v>
      </c>
      <c r="L55" s="145">
        <v>421.8</v>
      </c>
    </row>
    <row r="56" spans="1:12" s="80" customFormat="1" ht="15" customHeight="1">
      <c r="A56" s="793"/>
      <c r="B56" s="793"/>
      <c r="C56" s="801"/>
      <c r="D56" s="22">
        <v>1</v>
      </c>
      <c r="E56" s="409">
        <v>1</v>
      </c>
      <c r="F56" s="409"/>
      <c r="G56" s="22"/>
      <c r="H56" s="78">
        <v>1</v>
      </c>
      <c r="I56" s="409" t="s">
        <v>18</v>
      </c>
      <c r="J56" s="409" t="s">
        <v>18</v>
      </c>
      <c r="K56" s="409">
        <v>1996</v>
      </c>
      <c r="L56" s="145">
        <v>181.5</v>
      </c>
    </row>
    <row r="57" spans="1:12" s="64" customFormat="1" ht="15" customHeight="1">
      <c r="A57" s="1036" t="s">
        <v>13</v>
      </c>
      <c r="B57" s="1036"/>
      <c r="C57" s="120"/>
      <c r="D57" s="120">
        <f>SUM(D55:D56)</f>
        <v>2</v>
      </c>
      <c r="E57" s="120">
        <f>SUM(E55:E56)</f>
        <v>1</v>
      </c>
      <c r="F57" s="120">
        <f>SUM(F55:F56)</f>
        <v>1</v>
      </c>
      <c r="G57" s="120">
        <f>SUM(G55:G56)</f>
        <v>1</v>
      </c>
      <c r="H57" s="120">
        <f>SUM(H55:H56)</f>
        <v>1</v>
      </c>
      <c r="I57" s="120"/>
      <c r="J57" s="109"/>
      <c r="K57" s="109"/>
      <c r="L57" s="149">
        <f>SUM(L55:L56)</f>
        <v>603.3</v>
      </c>
    </row>
    <row r="58" spans="1:12" s="51" customFormat="1" ht="15" customHeight="1">
      <c r="A58" s="1047" t="s">
        <v>70</v>
      </c>
      <c r="B58" s="1047"/>
      <c r="C58" s="84"/>
      <c r="D58" s="84"/>
      <c r="E58" s="84"/>
      <c r="F58" s="84"/>
      <c r="G58" s="84"/>
      <c r="H58" s="84"/>
      <c r="I58" s="84"/>
      <c r="J58" s="19"/>
      <c r="K58" s="19"/>
      <c r="L58" s="170"/>
    </row>
    <row r="59" spans="1:12" s="50" customFormat="1" ht="48" customHeight="1">
      <c r="A59" s="39" t="s">
        <v>332</v>
      </c>
      <c r="B59" s="39" t="s">
        <v>333</v>
      </c>
      <c r="C59" s="39" t="s">
        <v>213</v>
      </c>
      <c r="D59" s="115" t="s">
        <v>36</v>
      </c>
      <c r="E59" s="115" t="s">
        <v>73</v>
      </c>
      <c r="F59" s="115" t="s">
        <v>74</v>
      </c>
      <c r="G59" s="115" t="s">
        <v>37</v>
      </c>
      <c r="H59" s="268" t="s">
        <v>38</v>
      </c>
      <c r="I59" s="39" t="s">
        <v>15</v>
      </c>
      <c r="J59" s="115" t="s">
        <v>214</v>
      </c>
      <c r="K59" s="115" t="s">
        <v>39</v>
      </c>
      <c r="L59" s="130" t="s">
        <v>58</v>
      </c>
    </row>
    <row r="60" spans="1:12" s="63" customFormat="1" ht="15" customHeight="1">
      <c r="A60" s="791"/>
      <c r="B60" s="791"/>
      <c r="C60" s="792"/>
      <c r="D60" s="22">
        <v>1</v>
      </c>
      <c r="E60" s="22">
        <v>1</v>
      </c>
      <c r="F60" s="77"/>
      <c r="G60" s="77">
        <v>1</v>
      </c>
      <c r="H60" s="22"/>
      <c r="I60" s="22" t="s">
        <v>212</v>
      </c>
      <c r="J60" s="222" t="s">
        <v>212</v>
      </c>
      <c r="K60" s="78">
        <v>1995</v>
      </c>
      <c r="L60" s="145">
        <v>240</v>
      </c>
    </row>
    <row r="61" spans="1:12" s="80" customFormat="1" ht="15" customHeight="1">
      <c r="A61" s="791"/>
      <c r="B61" s="791"/>
      <c r="C61" s="792"/>
      <c r="D61" s="75">
        <v>1</v>
      </c>
      <c r="E61" s="22">
        <v>1</v>
      </c>
      <c r="F61" s="77"/>
      <c r="G61" s="77">
        <v>1</v>
      </c>
      <c r="H61" s="22"/>
      <c r="I61" s="22" t="s">
        <v>212</v>
      </c>
      <c r="J61" s="222" t="s">
        <v>115</v>
      </c>
      <c r="K61" s="75">
        <v>1996</v>
      </c>
      <c r="L61" s="145">
        <v>696.8</v>
      </c>
    </row>
    <row r="62" spans="1:12" s="80" customFormat="1" ht="15" customHeight="1">
      <c r="A62" s="791"/>
      <c r="B62" s="791"/>
      <c r="C62" s="792"/>
      <c r="D62" s="22">
        <v>1</v>
      </c>
      <c r="E62" s="22">
        <v>1</v>
      </c>
      <c r="F62" s="77"/>
      <c r="G62" s="77">
        <v>1</v>
      </c>
      <c r="H62" s="22"/>
      <c r="I62" s="22" t="s">
        <v>212</v>
      </c>
      <c r="J62" s="22" t="s">
        <v>212</v>
      </c>
      <c r="K62" s="78">
        <v>1996</v>
      </c>
      <c r="L62" s="145">
        <v>794.35</v>
      </c>
    </row>
    <row r="63" spans="1:12" s="80" customFormat="1" ht="15" customHeight="1">
      <c r="A63" s="791"/>
      <c r="B63" s="791"/>
      <c r="C63" s="792"/>
      <c r="D63" s="22">
        <v>1</v>
      </c>
      <c r="E63" s="22"/>
      <c r="F63" s="77">
        <v>1</v>
      </c>
      <c r="G63" s="77">
        <v>1</v>
      </c>
      <c r="H63" s="22"/>
      <c r="I63" s="22" t="s">
        <v>212</v>
      </c>
      <c r="J63" s="22" t="s">
        <v>212</v>
      </c>
      <c r="K63" s="78">
        <v>1996</v>
      </c>
      <c r="L63" s="145">
        <v>80.6</v>
      </c>
    </row>
    <row r="64" spans="1:12" s="80" customFormat="1" ht="15" customHeight="1">
      <c r="A64" s="791"/>
      <c r="B64" s="791"/>
      <c r="C64" s="792"/>
      <c r="D64" s="22">
        <v>1</v>
      </c>
      <c r="E64" s="22">
        <v>1</v>
      </c>
      <c r="F64" s="77"/>
      <c r="G64" s="77"/>
      <c r="H64" s="22">
        <v>1</v>
      </c>
      <c r="I64" s="222" t="s">
        <v>342</v>
      </c>
      <c r="J64" s="222" t="s">
        <v>342</v>
      </c>
      <c r="K64" s="22">
        <v>1995</v>
      </c>
      <c r="L64" s="145">
        <f>228+120+456+216</f>
        <v>1020</v>
      </c>
    </row>
    <row r="65" spans="1:12" s="64" customFormat="1" ht="15" customHeight="1">
      <c r="A65" s="1036" t="s">
        <v>341</v>
      </c>
      <c r="B65" s="1036"/>
      <c r="C65" s="120"/>
      <c r="D65" s="120">
        <f>SUM(D60:D64)</f>
        <v>5</v>
      </c>
      <c r="E65" s="120">
        <f>SUM(E60:E64)</f>
        <v>4</v>
      </c>
      <c r="F65" s="120">
        <f>SUM(F60:F64)</f>
        <v>1</v>
      </c>
      <c r="G65" s="120">
        <f>SUM(G60:G64)</f>
        <v>4</v>
      </c>
      <c r="H65" s="120">
        <f>SUM(H60:H64)</f>
        <v>1</v>
      </c>
      <c r="I65" s="120"/>
      <c r="J65" s="109"/>
      <c r="K65" s="109"/>
      <c r="L65" s="149">
        <f>SUM(L60:L64)</f>
        <v>2831.75</v>
      </c>
    </row>
    <row r="66" spans="1:12" s="51" customFormat="1" ht="15" customHeight="1">
      <c r="A66" s="1047" t="s">
        <v>71</v>
      </c>
      <c r="B66" s="1047"/>
      <c r="C66" s="19"/>
      <c r="D66" s="19"/>
      <c r="E66" s="19"/>
      <c r="F66" s="19"/>
      <c r="G66" s="19"/>
      <c r="H66" s="19"/>
      <c r="I66" s="19"/>
      <c r="J66" s="19"/>
      <c r="K66" s="19"/>
      <c r="L66" s="170"/>
    </row>
    <row r="67" spans="1:12" s="50" customFormat="1" ht="48" customHeight="1">
      <c r="A67" s="39" t="s">
        <v>332</v>
      </c>
      <c r="B67" s="39" t="s">
        <v>333</v>
      </c>
      <c r="C67" s="39" t="s">
        <v>213</v>
      </c>
      <c r="D67" s="115" t="s">
        <v>36</v>
      </c>
      <c r="E67" s="115" t="s">
        <v>73</v>
      </c>
      <c r="F67" s="115" t="s">
        <v>74</v>
      </c>
      <c r="G67" s="115" t="s">
        <v>37</v>
      </c>
      <c r="H67" s="268" t="s">
        <v>38</v>
      </c>
      <c r="I67" s="39" t="s">
        <v>15</v>
      </c>
      <c r="J67" s="115" t="s">
        <v>214</v>
      </c>
      <c r="K67" s="115" t="s">
        <v>39</v>
      </c>
      <c r="L67" s="130" t="s">
        <v>58</v>
      </c>
    </row>
    <row r="68" spans="1:12" s="80" customFormat="1" ht="15" customHeight="1">
      <c r="A68" s="791"/>
      <c r="B68" s="791"/>
      <c r="C68" s="792"/>
      <c r="D68" s="22">
        <v>1</v>
      </c>
      <c r="E68" s="22">
        <v>1</v>
      </c>
      <c r="F68" s="22"/>
      <c r="G68" s="22">
        <v>1</v>
      </c>
      <c r="H68" s="22"/>
      <c r="I68" s="22" t="s">
        <v>212</v>
      </c>
      <c r="J68" s="222" t="s">
        <v>212</v>
      </c>
      <c r="K68" s="15">
        <v>1997</v>
      </c>
      <c r="L68" s="145">
        <v>132</v>
      </c>
    </row>
    <row r="69" spans="1:12" s="51" customFormat="1" ht="15" customHeight="1">
      <c r="A69" s="1052" t="s">
        <v>22</v>
      </c>
      <c r="B69" s="1052"/>
      <c r="C69" s="83"/>
      <c r="D69" s="83">
        <f>SUM(D68:D68)</f>
        <v>1</v>
      </c>
      <c r="E69" s="83">
        <f>SUM(E68)</f>
        <v>1</v>
      </c>
      <c r="F69" s="83">
        <v>0</v>
      </c>
      <c r="G69" s="83">
        <f>SUM(G68)</f>
        <v>1</v>
      </c>
      <c r="H69" s="83">
        <f>SUM(H68)</f>
        <v>0</v>
      </c>
      <c r="I69" s="83"/>
      <c r="J69" s="83"/>
      <c r="K69" s="83"/>
      <c r="L69" s="149">
        <f>SUM(L68:L68)</f>
        <v>132</v>
      </c>
    </row>
    <row r="70" spans="1:12" s="51" customFormat="1" ht="15" customHeight="1">
      <c r="A70" s="1047" t="s">
        <v>72</v>
      </c>
      <c r="B70" s="1047"/>
      <c r="C70" s="19"/>
      <c r="D70" s="19"/>
      <c r="E70" s="19"/>
      <c r="F70" s="19"/>
      <c r="G70" s="19"/>
      <c r="H70" s="19"/>
      <c r="I70" s="19"/>
      <c r="J70" s="19"/>
      <c r="K70" s="19"/>
      <c r="L70" s="170"/>
    </row>
    <row r="71" spans="1:12" s="50" customFormat="1" ht="48" customHeight="1">
      <c r="A71" s="39" t="s">
        <v>332</v>
      </c>
      <c r="B71" s="39" t="s">
        <v>333</v>
      </c>
      <c r="C71" s="39" t="s">
        <v>213</v>
      </c>
      <c r="D71" s="115" t="s">
        <v>36</v>
      </c>
      <c r="E71" s="115" t="s">
        <v>73</v>
      </c>
      <c r="F71" s="115" t="s">
        <v>74</v>
      </c>
      <c r="G71" s="115" t="s">
        <v>37</v>
      </c>
      <c r="H71" s="268" t="s">
        <v>38</v>
      </c>
      <c r="I71" s="39" t="s">
        <v>15</v>
      </c>
      <c r="J71" s="115" t="s">
        <v>214</v>
      </c>
      <c r="K71" s="115" t="s">
        <v>39</v>
      </c>
      <c r="L71" s="130" t="s">
        <v>58</v>
      </c>
    </row>
    <row r="72" spans="1:12" s="80" customFormat="1" ht="15" customHeight="1">
      <c r="A72" s="791"/>
      <c r="B72" s="791"/>
      <c r="C72" s="792"/>
      <c r="D72" s="22">
        <v>1</v>
      </c>
      <c r="E72" s="22">
        <v>1</v>
      </c>
      <c r="F72" s="22"/>
      <c r="G72" s="22"/>
      <c r="H72" s="22">
        <v>1</v>
      </c>
      <c r="I72" s="22" t="s">
        <v>326</v>
      </c>
      <c r="J72" s="22" t="s">
        <v>326</v>
      </c>
      <c r="K72" s="22">
        <v>1996</v>
      </c>
      <c r="L72" s="145">
        <v>171</v>
      </c>
    </row>
    <row r="73" spans="1:12" s="80" customFormat="1" ht="15" customHeight="1">
      <c r="A73" s="791"/>
      <c r="B73" s="791"/>
      <c r="C73" s="792"/>
      <c r="D73" s="22">
        <v>1</v>
      </c>
      <c r="E73" s="22">
        <v>1</v>
      </c>
      <c r="F73" s="22"/>
      <c r="G73" s="22">
        <v>1</v>
      </c>
      <c r="H73" s="22"/>
      <c r="I73" s="22" t="s">
        <v>212</v>
      </c>
      <c r="J73" s="22" t="s">
        <v>212</v>
      </c>
      <c r="K73" s="22">
        <v>1994</v>
      </c>
      <c r="L73" s="145">
        <v>240</v>
      </c>
    </row>
    <row r="74" spans="1:12" s="80" customFormat="1" ht="15" customHeight="1">
      <c r="A74" s="791"/>
      <c r="B74" s="791"/>
      <c r="C74" s="792"/>
      <c r="D74" s="22">
        <v>1</v>
      </c>
      <c r="E74" s="22">
        <v>1</v>
      </c>
      <c r="F74" s="22"/>
      <c r="G74" s="22"/>
      <c r="H74" s="22">
        <v>1</v>
      </c>
      <c r="I74" s="22" t="s">
        <v>212</v>
      </c>
      <c r="J74" s="222" t="s">
        <v>18</v>
      </c>
      <c r="K74" s="15">
        <v>1997</v>
      </c>
      <c r="L74" s="145">
        <v>192</v>
      </c>
    </row>
    <row r="75" spans="1:12" s="80" customFormat="1" ht="15" customHeight="1">
      <c r="A75" s="791"/>
      <c r="B75" s="791"/>
      <c r="C75" s="792"/>
      <c r="D75" s="22">
        <v>1</v>
      </c>
      <c r="E75" s="22"/>
      <c r="F75" s="22">
        <v>1</v>
      </c>
      <c r="G75" s="22">
        <v>1</v>
      </c>
      <c r="H75" s="22"/>
      <c r="I75" s="22" t="s">
        <v>212</v>
      </c>
      <c r="J75" s="222" t="s">
        <v>212</v>
      </c>
      <c r="K75" s="22">
        <v>1996</v>
      </c>
      <c r="L75" s="145">
        <v>180</v>
      </c>
    </row>
    <row r="76" spans="1:12" s="80" customFormat="1" ht="15" customHeight="1">
      <c r="A76" s="791"/>
      <c r="B76" s="791"/>
      <c r="C76" s="792"/>
      <c r="D76" s="22">
        <v>1</v>
      </c>
      <c r="E76" s="22"/>
      <c r="F76" s="22">
        <v>1</v>
      </c>
      <c r="G76" s="22"/>
      <c r="H76" s="22">
        <v>1</v>
      </c>
      <c r="I76" s="22" t="s">
        <v>343</v>
      </c>
      <c r="J76" s="22" t="s">
        <v>343</v>
      </c>
      <c r="K76" s="22">
        <v>1995</v>
      </c>
      <c r="L76" s="145">
        <v>452.1</v>
      </c>
    </row>
    <row r="77" spans="1:12" s="80" customFormat="1" ht="15" customHeight="1">
      <c r="A77" s="836"/>
      <c r="B77" s="837"/>
      <c r="C77" s="838"/>
      <c r="D77" s="1">
        <v>1</v>
      </c>
      <c r="E77" s="22">
        <v>1</v>
      </c>
      <c r="F77" s="305"/>
      <c r="G77" s="22">
        <v>1</v>
      </c>
      <c r="H77" s="22"/>
      <c r="I77" s="1" t="s">
        <v>118</v>
      </c>
      <c r="J77" s="305" t="s">
        <v>150</v>
      </c>
      <c r="K77" s="22">
        <v>1996</v>
      </c>
      <c r="L77" s="145">
        <v>219</v>
      </c>
    </row>
    <row r="78" spans="1:12" s="80" customFormat="1" ht="15" customHeight="1">
      <c r="A78" s="791"/>
      <c r="B78" s="791"/>
      <c r="C78" s="792"/>
      <c r="D78" s="22">
        <v>1</v>
      </c>
      <c r="E78" s="22"/>
      <c r="F78" s="22">
        <v>1</v>
      </c>
      <c r="G78" s="22">
        <v>1</v>
      </c>
      <c r="H78" s="22"/>
      <c r="I78" s="22" t="s">
        <v>212</v>
      </c>
      <c r="J78" s="22" t="s">
        <v>212</v>
      </c>
      <c r="K78" s="22">
        <v>1996</v>
      </c>
      <c r="L78" s="145">
        <v>120</v>
      </c>
    </row>
    <row r="79" spans="1:12" s="80" customFormat="1" ht="15" customHeight="1">
      <c r="A79" s="791"/>
      <c r="B79" s="791"/>
      <c r="C79" s="792"/>
      <c r="D79" s="22">
        <v>1</v>
      </c>
      <c r="E79" s="22">
        <v>1</v>
      </c>
      <c r="F79" s="22"/>
      <c r="G79" s="22">
        <v>1</v>
      </c>
      <c r="H79" s="22"/>
      <c r="I79" s="22" t="s">
        <v>212</v>
      </c>
      <c r="J79" s="22" t="s">
        <v>212</v>
      </c>
      <c r="K79" s="22">
        <v>1994</v>
      </c>
      <c r="L79" s="145">
        <v>524.8</v>
      </c>
    </row>
    <row r="80" spans="1:12" s="80" customFormat="1" ht="15" customHeight="1">
      <c r="A80" s="791"/>
      <c r="B80" s="791"/>
      <c r="C80" s="792"/>
      <c r="D80" s="22">
        <v>1</v>
      </c>
      <c r="E80" s="22">
        <v>1</v>
      </c>
      <c r="F80" s="22"/>
      <c r="G80" s="22"/>
      <c r="H80" s="22">
        <v>1</v>
      </c>
      <c r="I80" s="22" t="s">
        <v>212</v>
      </c>
      <c r="J80" s="222" t="s">
        <v>18</v>
      </c>
      <c r="K80" s="22">
        <v>1994</v>
      </c>
      <c r="L80" s="145">
        <v>1075.2</v>
      </c>
    </row>
    <row r="81" spans="1:12" s="80" customFormat="1" ht="15" customHeight="1">
      <c r="A81" s="791"/>
      <c r="B81" s="791"/>
      <c r="C81" s="792"/>
      <c r="D81" s="22">
        <v>1</v>
      </c>
      <c r="E81" s="22">
        <v>1</v>
      </c>
      <c r="F81" s="22"/>
      <c r="G81" s="22"/>
      <c r="H81" s="22">
        <v>1</v>
      </c>
      <c r="I81" s="222" t="s">
        <v>343</v>
      </c>
      <c r="J81" s="222" t="s">
        <v>343</v>
      </c>
      <c r="K81" s="22">
        <v>1996</v>
      </c>
      <c r="L81" s="145">
        <v>1043.2</v>
      </c>
    </row>
    <row r="82" spans="1:12" s="80" customFormat="1" ht="15" customHeight="1">
      <c r="A82" s="791"/>
      <c r="B82" s="791"/>
      <c r="C82" s="792"/>
      <c r="D82" s="22">
        <v>1</v>
      </c>
      <c r="E82" s="22">
        <v>1</v>
      </c>
      <c r="F82" s="22"/>
      <c r="G82" s="22">
        <v>1</v>
      </c>
      <c r="H82" s="22"/>
      <c r="I82" s="22" t="s">
        <v>456</v>
      </c>
      <c r="J82" s="222" t="s">
        <v>212</v>
      </c>
      <c r="K82" s="22">
        <v>1994</v>
      </c>
      <c r="L82" s="145">
        <v>112</v>
      </c>
    </row>
    <row r="83" spans="1:12" s="80" customFormat="1" ht="15" customHeight="1">
      <c r="A83" s="836"/>
      <c r="B83" s="837"/>
      <c r="C83" s="838"/>
      <c r="D83" s="22">
        <v>1</v>
      </c>
      <c r="E83" s="22"/>
      <c r="F83" s="22">
        <v>1</v>
      </c>
      <c r="G83" s="22">
        <v>1</v>
      </c>
      <c r="H83" s="22"/>
      <c r="I83" s="22" t="s">
        <v>212</v>
      </c>
      <c r="J83" s="222" t="s">
        <v>212</v>
      </c>
      <c r="K83" s="2">
        <v>1997</v>
      </c>
      <c r="L83" s="145">
        <v>249.6</v>
      </c>
    </row>
    <row r="84" spans="1:12" s="64" customFormat="1" ht="15" customHeight="1">
      <c r="A84" s="1036" t="s">
        <v>328</v>
      </c>
      <c r="B84" s="1036"/>
      <c r="C84" s="120"/>
      <c r="D84" s="120">
        <f>SUM(D72:D83)</f>
        <v>12</v>
      </c>
      <c r="E84" s="120">
        <f>SUM(E72:E82)</f>
        <v>8</v>
      </c>
      <c r="F84" s="120">
        <f>SUM(F72:F83)</f>
        <v>4</v>
      </c>
      <c r="G84" s="120">
        <f>SUM(G72:G83)</f>
        <v>7</v>
      </c>
      <c r="H84" s="120">
        <f>SUM(H72:H82)</f>
        <v>5</v>
      </c>
      <c r="I84" s="120"/>
      <c r="J84" s="109"/>
      <c r="K84" s="109"/>
      <c r="L84" s="149">
        <f>SUM(L72:L83)</f>
        <v>4578.9</v>
      </c>
    </row>
    <row r="85" spans="1:12" s="66" customFormat="1" ht="15" customHeight="1">
      <c r="A85" s="1037" t="s">
        <v>227</v>
      </c>
      <c r="B85" s="1037"/>
      <c r="C85" s="101"/>
      <c r="D85" s="101">
        <f>D84+D69+D65+D57+D52+D43+D27+D10</f>
        <v>55</v>
      </c>
      <c r="E85" s="101">
        <f>E84+E69+E65+E57+E52+E43+E27+E10</f>
        <v>41</v>
      </c>
      <c r="F85" s="101">
        <f>F84+F69+F65+F57+F52+F43+F27+F10</f>
        <v>14</v>
      </c>
      <c r="G85" s="101">
        <f>G84+G69+G65+G57+G52+G43+G27+G10</f>
        <v>29</v>
      </c>
      <c r="H85" s="101">
        <f>H84+H69+H65+H57+H52+H43+H27+H10</f>
        <v>26</v>
      </c>
      <c r="I85" s="101"/>
      <c r="J85" s="107"/>
      <c r="K85" s="107"/>
      <c r="L85" s="150">
        <f>L84+L69+L65+L57+L52+L43+L27+L10</f>
        <v>21558.05</v>
      </c>
    </row>
    <row r="90" spans="1:2" ht="12.75">
      <c r="A90" s="81"/>
      <c r="B90" s="81"/>
    </row>
    <row r="91" ht="12.75">
      <c r="F91" s="81"/>
    </row>
  </sheetData>
  <mergeCells count="21">
    <mergeCell ref="A85:B85"/>
    <mergeCell ref="A69:B69"/>
    <mergeCell ref="A66:B66"/>
    <mergeCell ref="A70:B70"/>
    <mergeCell ref="A84:B84"/>
    <mergeCell ref="A44:B44"/>
    <mergeCell ref="A52:B52"/>
    <mergeCell ref="A65:B65"/>
    <mergeCell ref="A58:B58"/>
    <mergeCell ref="A57:B57"/>
    <mergeCell ref="A53:B53"/>
    <mergeCell ref="A2:L2"/>
    <mergeCell ref="A1:K1"/>
    <mergeCell ref="A3:B3"/>
    <mergeCell ref="A43:B43"/>
    <mergeCell ref="A10:B10"/>
    <mergeCell ref="A11:B11"/>
    <mergeCell ref="A27:B27"/>
    <mergeCell ref="A31:B31"/>
    <mergeCell ref="A28:B28"/>
    <mergeCell ref="A30:B3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</sheetPr>
  <dimension ref="A1:K77"/>
  <sheetViews>
    <sheetView workbookViewId="0" topLeftCell="A1">
      <selection activeCell="I80" sqref="I80"/>
    </sheetView>
  </sheetViews>
  <sheetFormatPr defaultColWidth="9.140625" defaultRowHeight="12.75"/>
  <cols>
    <col min="1" max="3" width="20.7109375" style="24" customWidth="1"/>
    <col min="4" max="4" width="7.57421875" style="24" customWidth="1"/>
    <col min="5" max="6" width="5.7109375" style="24" customWidth="1"/>
    <col min="7" max="8" width="9.7109375" style="24" customWidth="1"/>
    <col min="9" max="9" width="13.7109375" style="24" customWidth="1"/>
    <col min="10" max="10" width="10.140625" style="24" customWidth="1"/>
    <col min="11" max="11" width="16.140625" style="25" customWidth="1"/>
    <col min="12" max="12" width="20.7109375" style="54" customWidth="1"/>
    <col min="13" max="16384" width="11.57421875" style="54" customWidth="1"/>
  </cols>
  <sheetData>
    <row r="1" spans="1:11" s="48" customFormat="1" ht="30" customHeight="1">
      <c r="A1" s="1007" t="s">
        <v>249</v>
      </c>
      <c r="B1" s="1008"/>
      <c r="C1" s="1008"/>
      <c r="D1" s="1008"/>
      <c r="E1" s="1008"/>
      <c r="F1" s="1008"/>
      <c r="G1" s="1008"/>
      <c r="H1" s="1008"/>
      <c r="I1" s="1008"/>
      <c r="J1" s="1008"/>
      <c r="K1" s="458">
        <v>40071160</v>
      </c>
    </row>
    <row r="2" spans="1:11" s="49" customFormat="1" ht="45" customHeight="1">
      <c r="A2" s="1044" t="s">
        <v>248</v>
      </c>
      <c r="B2" s="1044"/>
      <c r="C2" s="1044"/>
      <c r="D2" s="1092"/>
      <c r="E2" s="1092"/>
      <c r="F2" s="1092"/>
      <c r="G2" s="1092"/>
      <c r="H2" s="1092"/>
      <c r="I2" s="1092"/>
      <c r="J2" s="1092"/>
      <c r="K2" s="1092"/>
    </row>
    <row r="3" spans="1:11" ht="15" customHeight="1">
      <c r="A3" s="1051" t="s">
        <v>66</v>
      </c>
      <c r="B3" s="1051"/>
      <c r="C3" s="138"/>
      <c r="D3" s="248"/>
      <c r="E3" s="117"/>
      <c r="F3" s="117"/>
      <c r="G3" s="117"/>
      <c r="H3" s="117"/>
      <c r="I3" s="117"/>
      <c r="J3" s="115"/>
      <c r="K3" s="277"/>
    </row>
    <row r="4" spans="1:11" s="50" customFormat="1" ht="48" customHeight="1">
      <c r="A4" s="39" t="s">
        <v>332</v>
      </c>
      <c r="B4" s="39" t="s">
        <v>333</v>
      </c>
      <c r="C4" s="39" t="s">
        <v>213</v>
      </c>
      <c r="D4" s="115" t="s">
        <v>36</v>
      </c>
      <c r="E4" s="115" t="s">
        <v>73</v>
      </c>
      <c r="F4" s="115" t="s">
        <v>74</v>
      </c>
      <c r="G4" s="115" t="s">
        <v>37</v>
      </c>
      <c r="H4" s="268" t="s">
        <v>38</v>
      </c>
      <c r="I4" s="39" t="s">
        <v>15</v>
      </c>
      <c r="J4" s="115" t="s">
        <v>39</v>
      </c>
      <c r="K4" s="130" t="s">
        <v>58</v>
      </c>
    </row>
    <row r="5" spans="1:11" s="53" customFormat="1" ht="15" customHeight="1">
      <c r="A5" s="791"/>
      <c r="B5" s="791"/>
      <c r="C5" s="790"/>
      <c r="D5" s="21">
        <v>1</v>
      </c>
      <c r="E5" s="21">
        <v>1</v>
      </c>
      <c r="F5" s="380"/>
      <c r="G5" s="21"/>
      <c r="H5" s="21">
        <v>1</v>
      </c>
      <c r="I5" s="21" t="s">
        <v>326</v>
      </c>
      <c r="J5" s="21">
        <v>1967</v>
      </c>
      <c r="K5" s="145">
        <f>340.4+310.8+251.6</f>
        <v>902.8000000000001</v>
      </c>
    </row>
    <row r="6" spans="1:11" s="53" customFormat="1" ht="15" customHeight="1">
      <c r="A6" s="791"/>
      <c r="B6" s="791"/>
      <c r="C6" s="790"/>
      <c r="D6" s="21">
        <v>1</v>
      </c>
      <c r="E6" s="380">
        <v>1</v>
      </c>
      <c r="F6" s="380"/>
      <c r="G6" s="380"/>
      <c r="H6" s="380">
        <v>1</v>
      </c>
      <c r="I6" s="21" t="s">
        <v>495</v>
      </c>
      <c r="J6" s="21">
        <v>1956</v>
      </c>
      <c r="K6" s="145">
        <v>2279.2</v>
      </c>
    </row>
    <row r="7" spans="1:11" s="53" customFormat="1" ht="15" customHeight="1">
      <c r="A7" s="791"/>
      <c r="B7" s="791"/>
      <c r="C7" s="790"/>
      <c r="D7" s="21">
        <v>1</v>
      </c>
      <c r="E7" s="21"/>
      <c r="F7" s="22">
        <v>1</v>
      </c>
      <c r="G7" s="21">
        <v>1</v>
      </c>
      <c r="H7" s="380"/>
      <c r="I7" s="21" t="s">
        <v>212</v>
      </c>
      <c r="J7" s="21">
        <v>1963</v>
      </c>
      <c r="K7" s="145">
        <f>3069.15+310.8+370</f>
        <v>3749.9500000000003</v>
      </c>
    </row>
    <row r="8" spans="1:11" s="64" customFormat="1" ht="15" customHeight="1">
      <c r="A8" s="1036" t="s">
        <v>75</v>
      </c>
      <c r="B8" s="1036"/>
      <c r="C8" s="120"/>
      <c r="D8" s="120">
        <f>SUM(D5:D7)</f>
        <v>3</v>
      </c>
      <c r="E8" s="120">
        <f>SUM(E5:E7)</f>
        <v>2</v>
      </c>
      <c r="F8" s="120">
        <f>SUM(F5:F7)</f>
        <v>1</v>
      </c>
      <c r="G8" s="120">
        <f>SUM(G5:G7)</f>
        <v>1</v>
      </c>
      <c r="H8" s="120">
        <f>SUM(H5:H7)</f>
        <v>2</v>
      </c>
      <c r="I8" s="120"/>
      <c r="J8" s="37"/>
      <c r="K8" s="149">
        <f>SUM(K5:K7)</f>
        <v>6931.950000000001</v>
      </c>
    </row>
    <row r="9" spans="1:11" s="51" customFormat="1" ht="15" customHeight="1">
      <c r="A9" s="1047" t="s">
        <v>64</v>
      </c>
      <c r="B9" s="1047"/>
      <c r="C9" s="19"/>
      <c r="D9" s="19"/>
      <c r="E9" s="19"/>
      <c r="F9" s="19"/>
      <c r="G9" s="19"/>
      <c r="H9" s="19"/>
      <c r="I9" s="19"/>
      <c r="J9" s="19"/>
      <c r="K9" s="164"/>
    </row>
    <row r="10" spans="1:11" s="50" customFormat="1" ht="48" customHeight="1">
      <c r="A10" s="39" t="s">
        <v>332</v>
      </c>
      <c r="B10" s="39" t="s">
        <v>333</v>
      </c>
      <c r="C10" s="39" t="s">
        <v>213</v>
      </c>
      <c r="D10" s="115" t="s">
        <v>36</v>
      </c>
      <c r="E10" s="115" t="s">
        <v>73</v>
      </c>
      <c r="F10" s="115" t="s">
        <v>74</v>
      </c>
      <c r="G10" s="115" t="s">
        <v>37</v>
      </c>
      <c r="H10" s="268" t="s">
        <v>38</v>
      </c>
      <c r="I10" s="39" t="s">
        <v>15</v>
      </c>
      <c r="J10" s="115" t="s">
        <v>39</v>
      </c>
      <c r="K10" s="130" t="s">
        <v>58</v>
      </c>
    </row>
    <row r="11" spans="1:11" s="65" customFormat="1" ht="15" customHeight="1">
      <c r="A11" s="791"/>
      <c r="B11" s="791"/>
      <c r="C11" s="790"/>
      <c r="D11" s="22">
        <v>1</v>
      </c>
      <c r="E11" s="22"/>
      <c r="F11" s="22">
        <v>1</v>
      </c>
      <c r="G11" s="22"/>
      <c r="H11" s="22">
        <v>1</v>
      </c>
      <c r="I11" s="22" t="s">
        <v>18</v>
      </c>
      <c r="J11" s="22">
        <v>1968</v>
      </c>
      <c r="K11" s="145">
        <v>1942.5</v>
      </c>
    </row>
    <row r="12" spans="1:11" s="65" customFormat="1" ht="15" customHeight="1">
      <c r="A12" s="791"/>
      <c r="B12" s="791"/>
      <c r="C12" s="790"/>
      <c r="D12" s="22">
        <v>1</v>
      </c>
      <c r="E12" s="22">
        <v>1</v>
      </c>
      <c r="F12" s="22"/>
      <c r="G12" s="22"/>
      <c r="H12" s="22">
        <v>1</v>
      </c>
      <c r="I12" s="22" t="s">
        <v>221</v>
      </c>
      <c r="J12" s="22">
        <v>1957</v>
      </c>
      <c r="K12" s="145">
        <f>2856.59+318.57+262.7</f>
        <v>3437.86</v>
      </c>
    </row>
    <row r="13" spans="1:11" s="65" customFormat="1" ht="15" customHeight="1">
      <c r="A13" s="791"/>
      <c r="B13" s="791"/>
      <c r="C13" s="790"/>
      <c r="D13" s="22">
        <v>1</v>
      </c>
      <c r="E13" s="22">
        <v>1</v>
      </c>
      <c r="F13" s="22"/>
      <c r="G13" s="22"/>
      <c r="H13" s="22">
        <v>1</v>
      </c>
      <c r="I13" s="22" t="s">
        <v>221</v>
      </c>
      <c r="J13" s="22">
        <v>1994</v>
      </c>
      <c r="K13" s="145">
        <v>183.15</v>
      </c>
    </row>
    <row r="14" spans="1:11" s="65" customFormat="1" ht="15" customHeight="1">
      <c r="A14" s="791"/>
      <c r="B14" s="791"/>
      <c r="C14" s="790"/>
      <c r="D14" s="22">
        <v>1</v>
      </c>
      <c r="E14" s="22"/>
      <c r="F14" s="22">
        <v>1</v>
      </c>
      <c r="G14" s="22">
        <v>1</v>
      </c>
      <c r="H14" s="22"/>
      <c r="I14" s="22" t="s">
        <v>212</v>
      </c>
      <c r="J14" s="22">
        <v>1969</v>
      </c>
      <c r="K14" s="145">
        <v>1807.45</v>
      </c>
    </row>
    <row r="15" spans="1:11" s="65" customFormat="1" ht="15" customHeight="1">
      <c r="A15" s="791"/>
      <c r="B15" s="791"/>
      <c r="C15" s="790"/>
      <c r="D15" s="22">
        <v>1</v>
      </c>
      <c r="E15" s="22"/>
      <c r="F15" s="22">
        <v>1</v>
      </c>
      <c r="G15" s="22"/>
      <c r="H15" s="22">
        <v>1</v>
      </c>
      <c r="I15" s="22" t="s">
        <v>18</v>
      </c>
      <c r="J15" s="22">
        <v>1981</v>
      </c>
      <c r="K15" s="145">
        <f>310.8+296</f>
        <v>606.8</v>
      </c>
    </row>
    <row r="16" spans="1:11" s="65" customFormat="1" ht="15" customHeight="1">
      <c r="A16" s="791"/>
      <c r="B16" s="791"/>
      <c r="C16" s="790"/>
      <c r="D16" s="22">
        <v>1</v>
      </c>
      <c r="E16" s="22"/>
      <c r="F16" s="22">
        <v>1</v>
      </c>
      <c r="G16" s="22"/>
      <c r="H16" s="22">
        <v>1</v>
      </c>
      <c r="I16" s="22" t="s">
        <v>18</v>
      </c>
      <c r="J16" s="22">
        <v>1980</v>
      </c>
      <c r="K16" s="145">
        <f>3004.4+310.8+281.2</f>
        <v>3596.4</v>
      </c>
    </row>
    <row r="17" spans="1:11" s="65" customFormat="1" ht="15" customHeight="1">
      <c r="A17" s="791"/>
      <c r="B17" s="791"/>
      <c r="C17" s="790"/>
      <c r="D17" s="22">
        <v>1</v>
      </c>
      <c r="E17" s="22">
        <v>1</v>
      </c>
      <c r="F17" s="22"/>
      <c r="G17" s="22"/>
      <c r="H17" s="22">
        <v>1</v>
      </c>
      <c r="I17" s="22" t="s">
        <v>427</v>
      </c>
      <c r="J17" s="22">
        <v>1975</v>
      </c>
      <c r="K17" s="145">
        <v>333</v>
      </c>
    </row>
    <row r="18" spans="1:11" s="65" customFormat="1" ht="15" customHeight="1">
      <c r="A18" s="791"/>
      <c r="B18" s="791"/>
      <c r="C18" s="790"/>
      <c r="D18" s="22">
        <v>1</v>
      </c>
      <c r="E18" s="22">
        <v>1</v>
      </c>
      <c r="F18" s="22"/>
      <c r="G18" s="22">
        <v>1</v>
      </c>
      <c r="H18" s="22"/>
      <c r="I18" s="22" t="s">
        <v>212</v>
      </c>
      <c r="J18" s="22">
        <v>1974</v>
      </c>
      <c r="K18" s="145">
        <f>388.5+636.4</f>
        <v>1024.9</v>
      </c>
    </row>
    <row r="19" spans="1:11" s="65" customFormat="1" ht="15" customHeight="1">
      <c r="A19" s="791"/>
      <c r="B19" s="791"/>
      <c r="C19" s="790"/>
      <c r="D19" s="22">
        <v>1</v>
      </c>
      <c r="E19" s="22">
        <v>1</v>
      </c>
      <c r="F19" s="22"/>
      <c r="G19" s="22"/>
      <c r="H19" s="22">
        <v>1</v>
      </c>
      <c r="I19" s="22" t="s">
        <v>495</v>
      </c>
      <c r="J19" s="22">
        <v>1978</v>
      </c>
      <c r="K19" s="145">
        <f>4236.5+296</f>
        <v>4532.5</v>
      </c>
    </row>
    <row r="20" spans="1:11" s="65" customFormat="1" ht="15" customHeight="1">
      <c r="A20" s="791"/>
      <c r="B20" s="791"/>
      <c r="C20" s="790"/>
      <c r="D20" s="22">
        <v>1</v>
      </c>
      <c r="E20" s="22"/>
      <c r="F20" s="22">
        <v>1</v>
      </c>
      <c r="G20" s="22"/>
      <c r="H20" s="22">
        <v>1</v>
      </c>
      <c r="I20" s="22" t="s">
        <v>18</v>
      </c>
      <c r="J20" s="22">
        <v>1967</v>
      </c>
      <c r="K20" s="145">
        <f>3666.7+296+495.8</f>
        <v>4458.5</v>
      </c>
    </row>
    <row r="21" spans="1:11" s="64" customFormat="1" ht="15" customHeight="1">
      <c r="A21" s="1036" t="s">
        <v>8</v>
      </c>
      <c r="B21" s="1036"/>
      <c r="C21" s="120"/>
      <c r="D21" s="120">
        <f>SUM(D11:D20)</f>
        <v>10</v>
      </c>
      <c r="E21" s="120">
        <f>SUM(E11:E20)</f>
        <v>5</v>
      </c>
      <c r="F21" s="120">
        <f>SUM(F11:F20)</f>
        <v>5</v>
      </c>
      <c r="G21" s="120">
        <f>SUM(G11:G20)</f>
        <v>2</v>
      </c>
      <c r="H21" s="120">
        <f>SUM(H11:H20)</f>
        <v>8</v>
      </c>
      <c r="I21" s="120"/>
      <c r="J21" s="120"/>
      <c r="K21" s="149">
        <f>SUM(K11:K20)</f>
        <v>21923.059999999998</v>
      </c>
    </row>
    <row r="22" spans="1:11" s="64" customFormat="1" ht="15" customHeight="1">
      <c r="A22" s="1047" t="s">
        <v>67</v>
      </c>
      <c r="B22" s="1047"/>
      <c r="C22" s="19"/>
      <c r="D22" s="19"/>
      <c r="E22" s="19"/>
      <c r="F22" s="19"/>
      <c r="G22" s="19"/>
      <c r="H22" s="19"/>
      <c r="I22" s="19"/>
      <c r="J22" s="19"/>
      <c r="K22" s="164"/>
    </row>
    <row r="23" spans="1:11" s="64" customFormat="1" ht="48" customHeight="1">
      <c r="A23" s="39" t="s">
        <v>332</v>
      </c>
      <c r="B23" s="39" t="s">
        <v>333</v>
      </c>
      <c r="C23" s="39" t="s">
        <v>213</v>
      </c>
      <c r="D23" s="115" t="s">
        <v>36</v>
      </c>
      <c r="E23" s="115" t="s">
        <v>73</v>
      </c>
      <c r="F23" s="115" t="s">
        <v>74</v>
      </c>
      <c r="G23" s="115" t="s">
        <v>37</v>
      </c>
      <c r="H23" s="268" t="s">
        <v>38</v>
      </c>
      <c r="I23" s="39" t="s">
        <v>15</v>
      </c>
      <c r="J23" s="115" t="s">
        <v>39</v>
      </c>
      <c r="K23" s="130" t="s">
        <v>58</v>
      </c>
    </row>
    <row r="24" spans="1:11" s="64" customFormat="1" ht="15" customHeight="1">
      <c r="A24" s="1036" t="s">
        <v>95</v>
      </c>
      <c r="B24" s="1036"/>
      <c r="C24" s="120"/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/>
      <c r="J24" s="120"/>
      <c r="K24" s="149"/>
    </row>
    <row r="25" spans="1:11" s="51" customFormat="1" ht="15" customHeight="1">
      <c r="A25" s="1047" t="s">
        <v>68</v>
      </c>
      <c r="B25" s="1047"/>
      <c r="C25" s="19"/>
      <c r="D25" s="19"/>
      <c r="E25" s="19"/>
      <c r="F25" s="19"/>
      <c r="G25" s="19"/>
      <c r="H25" s="19"/>
      <c r="I25" s="19"/>
      <c r="J25" s="19"/>
      <c r="K25" s="170"/>
    </row>
    <row r="26" spans="1:11" s="50" customFormat="1" ht="48" customHeight="1">
      <c r="A26" s="39" t="s">
        <v>332</v>
      </c>
      <c r="B26" s="39" t="s">
        <v>333</v>
      </c>
      <c r="C26" s="39" t="s">
        <v>213</v>
      </c>
      <c r="D26" s="115" t="s">
        <v>36</v>
      </c>
      <c r="E26" s="115" t="s">
        <v>73</v>
      </c>
      <c r="F26" s="115" t="s">
        <v>74</v>
      </c>
      <c r="G26" s="115" t="s">
        <v>37</v>
      </c>
      <c r="H26" s="268" t="s">
        <v>38</v>
      </c>
      <c r="I26" s="39" t="s">
        <v>15</v>
      </c>
      <c r="J26" s="115" t="s">
        <v>39</v>
      </c>
      <c r="K26" s="130" t="s">
        <v>58</v>
      </c>
    </row>
    <row r="27" spans="1:11" s="53" customFormat="1" ht="15" customHeight="1">
      <c r="A27" s="791"/>
      <c r="B27" s="791"/>
      <c r="C27" s="790"/>
      <c r="D27" s="21">
        <v>1</v>
      </c>
      <c r="E27" s="298"/>
      <c r="F27" s="22">
        <v>1</v>
      </c>
      <c r="G27" s="22"/>
      <c r="H27" s="22">
        <v>1</v>
      </c>
      <c r="I27" s="21" t="s">
        <v>427</v>
      </c>
      <c r="J27" s="21">
        <v>1968</v>
      </c>
      <c r="K27" s="145">
        <f>573.5+370+283.05</f>
        <v>1226.55</v>
      </c>
    </row>
    <row r="28" spans="1:11" s="64" customFormat="1" ht="15" customHeight="1">
      <c r="A28" s="1036" t="s">
        <v>478</v>
      </c>
      <c r="B28" s="1036"/>
      <c r="C28" s="120"/>
      <c r="D28" s="120">
        <f>SUM(D27:D27)</f>
        <v>1</v>
      </c>
      <c r="E28" s="120">
        <f>SUM(E27:E27)</f>
        <v>0</v>
      </c>
      <c r="F28" s="120">
        <f>SUM(F27:F27)</f>
        <v>1</v>
      </c>
      <c r="G28" s="120">
        <f>SUM(G27:G27)</f>
        <v>0</v>
      </c>
      <c r="H28" s="120">
        <f>SUM(H27:H27)</f>
        <v>1</v>
      </c>
      <c r="I28" s="120"/>
      <c r="J28" s="109"/>
      <c r="K28" s="149">
        <f>SUM(K27:K27)</f>
        <v>1226.55</v>
      </c>
    </row>
    <row r="29" spans="1:11" s="51" customFormat="1" ht="15" customHeight="1">
      <c r="A29" s="1047" t="s">
        <v>65</v>
      </c>
      <c r="B29" s="1047"/>
      <c r="C29" s="19"/>
      <c r="D29" s="19"/>
      <c r="E29" s="19"/>
      <c r="F29" s="19"/>
      <c r="G29" s="19"/>
      <c r="H29" s="19"/>
      <c r="I29" s="19"/>
      <c r="J29" s="19"/>
      <c r="K29" s="170"/>
    </row>
    <row r="30" spans="1:11" s="50" customFormat="1" ht="48" customHeight="1">
      <c r="A30" s="39" t="s">
        <v>332</v>
      </c>
      <c r="B30" s="39" t="s">
        <v>333</v>
      </c>
      <c r="C30" s="39" t="s">
        <v>213</v>
      </c>
      <c r="D30" s="115" t="s">
        <v>36</v>
      </c>
      <c r="E30" s="115" t="s">
        <v>73</v>
      </c>
      <c r="F30" s="115" t="s">
        <v>74</v>
      </c>
      <c r="G30" s="115" t="s">
        <v>37</v>
      </c>
      <c r="H30" s="268" t="s">
        <v>38</v>
      </c>
      <c r="I30" s="39" t="s">
        <v>15</v>
      </c>
      <c r="J30" s="115" t="s">
        <v>39</v>
      </c>
      <c r="K30" s="130" t="s">
        <v>58</v>
      </c>
    </row>
    <row r="31" spans="1:11" s="65" customFormat="1" ht="15" customHeight="1">
      <c r="A31" s="790"/>
      <c r="B31" s="790"/>
      <c r="C31" s="790"/>
      <c r="D31" s="22">
        <v>1</v>
      </c>
      <c r="E31" s="298"/>
      <c r="F31" s="434">
        <v>1</v>
      </c>
      <c r="G31" s="434"/>
      <c r="H31" s="434">
        <v>1</v>
      </c>
      <c r="I31" s="22" t="s">
        <v>447</v>
      </c>
      <c r="J31" s="22">
        <v>1970</v>
      </c>
      <c r="K31" s="145">
        <v>44.4</v>
      </c>
    </row>
    <row r="32" spans="1:11" s="65" customFormat="1" ht="15" customHeight="1">
      <c r="A32" s="790"/>
      <c r="B32" s="790"/>
      <c r="C32" s="790"/>
      <c r="D32" s="22">
        <v>1</v>
      </c>
      <c r="E32" s="434">
        <v>1</v>
      </c>
      <c r="F32" s="298"/>
      <c r="G32" s="78">
        <v>1</v>
      </c>
      <c r="H32" s="78"/>
      <c r="I32" s="22" t="s">
        <v>212</v>
      </c>
      <c r="J32" s="22">
        <v>1973</v>
      </c>
      <c r="K32" s="145">
        <v>621.6</v>
      </c>
    </row>
    <row r="33" spans="1:11" ht="15" customHeight="1">
      <c r="A33" s="1052" t="s">
        <v>340</v>
      </c>
      <c r="B33" s="1052"/>
      <c r="C33" s="107"/>
      <c r="D33" s="107">
        <f>SUM(D31:D32)</f>
        <v>2</v>
      </c>
      <c r="E33" s="107">
        <f>SUM(E31:E32)</f>
        <v>1</v>
      </c>
      <c r="F33" s="107">
        <f>SUM(F31:F32)</f>
        <v>1</v>
      </c>
      <c r="G33" s="107">
        <f>SUM(G31:G32)</f>
        <v>1</v>
      </c>
      <c r="H33" s="107">
        <f>SUM(H31:H32)</f>
        <v>1</v>
      </c>
      <c r="I33" s="107"/>
      <c r="J33" s="107"/>
      <c r="K33" s="149">
        <f>SUM(K31:K32)</f>
        <v>666</v>
      </c>
    </row>
    <row r="34" spans="1:11" s="51" customFormat="1" ht="15" customHeight="1">
      <c r="A34" s="1047" t="s">
        <v>69</v>
      </c>
      <c r="B34" s="1047"/>
      <c r="C34" s="19"/>
      <c r="D34" s="19"/>
      <c r="E34" s="19"/>
      <c r="F34" s="19"/>
      <c r="G34" s="19"/>
      <c r="H34" s="19"/>
      <c r="I34" s="19"/>
      <c r="J34" s="19"/>
      <c r="K34" s="170"/>
    </row>
    <row r="35" spans="1:11" s="50" customFormat="1" ht="48" customHeight="1">
      <c r="A35" s="39" t="s">
        <v>332</v>
      </c>
      <c r="B35" s="39" t="s">
        <v>333</v>
      </c>
      <c r="C35" s="39" t="s">
        <v>213</v>
      </c>
      <c r="D35" s="115" t="s">
        <v>36</v>
      </c>
      <c r="E35" s="115" t="s">
        <v>73</v>
      </c>
      <c r="F35" s="115" t="s">
        <v>74</v>
      </c>
      <c r="G35" s="115" t="s">
        <v>37</v>
      </c>
      <c r="H35" s="268" t="s">
        <v>38</v>
      </c>
      <c r="I35" s="39" t="s">
        <v>15</v>
      </c>
      <c r="J35" s="115" t="s">
        <v>39</v>
      </c>
      <c r="K35" s="130" t="s">
        <v>58</v>
      </c>
    </row>
    <row r="36" spans="1:11" s="53" customFormat="1" ht="15" customHeight="1">
      <c r="A36" s="791"/>
      <c r="B36" s="791"/>
      <c r="C36" s="790"/>
      <c r="D36" s="21">
        <v>1</v>
      </c>
      <c r="E36" s="357"/>
      <c r="F36" s="357">
        <v>1</v>
      </c>
      <c r="G36" s="285"/>
      <c r="H36" s="78">
        <v>1</v>
      </c>
      <c r="I36" s="21" t="s">
        <v>326</v>
      </c>
      <c r="J36" s="21">
        <v>1976</v>
      </c>
      <c r="K36" s="145">
        <f>651.2+370+277.5</f>
        <v>1298.7</v>
      </c>
    </row>
    <row r="37" spans="1:11" s="65" customFormat="1" ht="15" customHeight="1">
      <c r="A37" s="791"/>
      <c r="B37" s="791"/>
      <c r="C37" s="790"/>
      <c r="D37" s="22">
        <v>1</v>
      </c>
      <c r="E37" s="434"/>
      <c r="F37" s="434">
        <v>1</v>
      </c>
      <c r="G37" s="22"/>
      <c r="H37" s="78">
        <v>1</v>
      </c>
      <c r="I37" s="21" t="s">
        <v>18</v>
      </c>
      <c r="J37" s="21">
        <v>1976</v>
      </c>
      <c r="K37" s="145">
        <v>222</v>
      </c>
    </row>
    <row r="38" spans="1:11" s="65" customFormat="1" ht="15" customHeight="1">
      <c r="A38" s="791"/>
      <c r="B38" s="791"/>
      <c r="C38" s="790"/>
      <c r="D38" s="22">
        <v>1</v>
      </c>
      <c r="E38" s="434"/>
      <c r="F38" s="434">
        <v>1</v>
      </c>
      <c r="G38" s="22"/>
      <c r="H38" s="78">
        <v>1</v>
      </c>
      <c r="I38" s="21" t="s">
        <v>326</v>
      </c>
      <c r="J38" s="21">
        <v>1965</v>
      </c>
      <c r="K38" s="145">
        <f>399.6+111</f>
        <v>510.6</v>
      </c>
    </row>
    <row r="39" spans="1:11" s="65" customFormat="1" ht="15" customHeight="1">
      <c r="A39" s="791"/>
      <c r="B39" s="791"/>
      <c r="C39" s="790"/>
      <c r="D39" s="22">
        <v>1</v>
      </c>
      <c r="E39" s="434">
        <v>1</v>
      </c>
      <c r="F39" s="434"/>
      <c r="G39" s="22">
        <v>1</v>
      </c>
      <c r="H39" s="78"/>
      <c r="I39" s="22" t="s">
        <v>212</v>
      </c>
      <c r="J39" s="22">
        <v>1972</v>
      </c>
      <c r="K39" s="145">
        <f>1801.9+432.9+499.5</f>
        <v>2734.3</v>
      </c>
    </row>
    <row r="40" spans="1:11" s="65" customFormat="1" ht="15" customHeight="1">
      <c r="A40" s="791"/>
      <c r="B40" s="791"/>
      <c r="C40" s="790"/>
      <c r="D40" s="22">
        <v>1</v>
      </c>
      <c r="E40" s="434"/>
      <c r="F40" s="434">
        <v>1</v>
      </c>
      <c r="G40" s="22"/>
      <c r="H40" s="78">
        <v>1</v>
      </c>
      <c r="I40" s="22" t="s">
        <v>427</v>
      </c>
      <c r="J40" s="22">
        <v>1986</v>
      </c>
      <c r="K40" s="145">
        <v>166.5</v>
      </c>
    </row>
    <row r="41" spans="1:11" s="64" customFormat="1" ht="15" customHeight="1">
      <c r="A41" s="1036" t="s">
        <v>13</v>
      </c>
      <c r="B41" s="1036"/>
      <c r="C41" s="120"/>
      <c r="D41" s="120">
        <f>SUM(D36:D40)</f>
        <v>5</v>
      </c>
      <c r="E41" s="120">
        <f>SUM(E39:E40)</f>
        <v>1</v>
      </c>
      <c r="F41" s="120">
        <f>SUM(F36:F40)</f>
        <v>4</v>
      </c>
      <c r="G41" s="120">
        <f>SUM(G38:G40)</f>
        <v>1</v>
      </c>
      <c r="H41" s="120">
        <f>SUM(H36:H40)</f>
        <v>4</v>
      </c>
      <c r="I41" s="120"/>
      <c r="J41" s="109"/>
      <c r="K41" s="149">
        <f>SUM(K36:K40)</f>
        <v>4932.1</v>
      </c>
    </row>
    <row r="42" spans="1:11" s="51" customFormat="1" ht="15" customHeight="1">
      <c r="A42" s="1047" t="s">
        <v>70</v>
      </c>
      <c r="B42" s="1047"/>
      <c r="C42" s="84"/>
      <c r="D42" s="84"/>
      <c r="E42" s="84"/>
      <c r="F42" s="84"/>
      <c r="G42" s="84"/>
      <c r="H42" s="84"/>
      <c r="I42" s="84"/>
      <c r="J42" s="19"/>
      <c r="K42" s="170"/>
    </row>
    <row r="43" spans="1:11" s="50" customFormat="1" ht="48" customHeight="1">
      <c r="A43" s="39" t="s">
        <v>332</v>
      </c>
      <c r="B43" s="39" t="s">
        <v>333</v>
      </c>
      <c r="C43" s="39" t="s">
        <v>213</v>
      </c>
      <c r="D43" s="115" t="s">
        <v>36</v>
      </c>
      <c r="E43" s="115" t="s">
        <v>73</v>
      </c>
      <c r="F43" s="115" t="s">
        <v>74</v>
      </c>
      <c r="G43" s="115" t="s">
        <v>37</v>
      </c>
      <c r="H43" s="268" t="s">
        <v>38</v>
      </c>
      <c r="I43" s="39" t="s">
        <v>15</v>
      </c>
      <c r="J43" s="115" t="s">
        <v>39</v>
      </c>
      <c r="K43" s="130" t="s">
        <v>58</v>
      </c>
    </row>
    <row r="44" spans="1:11" s="53" customFormat="1" ht="15" customHeight="1">
      <c r="A44" s="791"/>
      <c r="B44" s="791"/>
      <c r="C44" s="790"/>
      <c r="D44" s="75">
        <v>1</v>
      </c>
      <c r="E44" s="21">
        <v>1</v>
      </c>
      <c r="F44" s="75"/>
      <c r="G44" s="75"/>
      <c r="H44" s="22">
        <v>1</v>
      </c>
      <c r="I44" s="21" t="s">
        <v>327</v>
      </c>
      <c r="J44" s="21">
        <v>1978</v>
      </c>
      <c r="K44" s="145">
        <v>444</v>
      </c>
    </row>
    <row r="45" spans="1:11" s="65" customFormat="1" ht="15" customHeight="1">
      <c r="A45" s="791"/>
      <c r="B45" s="791"/>
      <c r="C45" s="790"/>
      <c r="D45" s="22">
        <v>1</v>
      </c>
      <c r="E45" s="22"/>
      <c r="F45" s="22">
        <v>1</v>
      </c>
      <c r="G45" s="77">
        <v>1</v>
      </c>
      <c r="H45" s="22"/>
      <c r="I45" s="21" t="s">
        <v>212</v>
      </c>
      <c r="J45" s="21">
        <v>1964</v>
      </c>
      <c r="K45" s="145">
        <v>399.6</v>
      </c>
    </row>
    <row r="46" spans="1:11" s="65" customFormat="1" ht="15" customHeight="1">
      <c r="A46" s="791"/>
      <c r="B46" s="791"/>
      <c r="C46" s="790"/>
      <c r="D46" s="22">
        <v>1</v>
      </c>
      <c r="E46" s="22"/>
      <c r="F46" s="15">
        <v>1</v>
      </c>
      <c r="G46" s="77"/>
      <c r="H46" s="22">
        <v>1</v>
      </c>
      <c r="I46" s="21" t="s">
        <v>427</v>
      </c>
      <c r="J46" s="21">
        <v>1974</v>
      </c>
      <c r="K46" s="145">
        <f>1753.8+355.2+421.8</f>
        <v>2530.8</v>
      </c>
    </row>
    <row r="47" spans="1:11" s="65" customFormat="1" ht="15" customHeight="1">
      <c r="A47" s="791"/>
      <c r="B47" s="791"/>
      <c r="C47" s="790"/>
      <c r="D47" s="22">
        <v>1</v>
      </c>
      <c r="E47" s="22"/>
      <c r="F47" s="77">
        <v>1</v>
      </c>
      <c r="G47" s="77">
        <v>1</v>
      </c>
      <c r="H47" s="22"/>
      <c r="I47" s="21" t="s">
        <v>212</v>
      </c>
      <c r="J47" s="21">
        <v>1964</v>
      </c>
      <c r="K47" s="145">
        <f>4499.2+466.2+399.6</f>
        <v>5365</v>
      </c>
    </row>
    <row r="48" spans="1:11" s="65" customFormat="1" ht="15" customHeight="1">
      <c r="A48" s="791"/>
      <c r="B48" s="791"/>
      <c r="C48" s="790"/>
      <c r="D48" s="22">
        <v>1</v>
      </c>
      <c r="E48" s="22"/>
      <c r="F48" s="77">
        <v>1</v>
      </c>
      <c r="G48" s="77">
        <v>1</v>
      </c>
      <c r="H48" s="22"/>
      <c r="I48" s="21" t="s">
        <v>212</v>
      </c>
      <c r="J48" s="21">
        <v>1976</v>
      </c>
      <c r="K48" s="145">
        <f>1831.5+333+133.2-388.5</f>
        <v>1909.1999999999998</v>
      </c>
    </row>
    <row r="49" spans="1:11" s="64" customFormat="1" ht="15" customHeight="1">
      <c r="A49" s="1036" t="s">
        <v>341</v>
      </c>
      <c r="B49" s="1036"/>
      <c r="C49" s="120"/>
      <c r="D49" s="120">
        <f>SUM(D44:D48)</f>
        <v>5</v>
      </c>
      <c r="E49" s="120">
        <f>SUM(E44:E48)</f>
        <v>1</v>
      </c>
      <c r="F49" s="120">
        <f>SUM(F44:F48)</f>
        <v>4</v>
      </c>
      <c r="G49" s="120">
        <f>SUM(G44:G48)</f>
        <v>3</v>
      </c>
      <c r="H49" s="120">
        <f>SUM(H44:H48)</f>
        <v>2</v>
      </c>
      <c r="I49" s="120"/>
      <c r="J49" s="109"/>
      <c r="K49" s="149">
        <f>SUM(K44:K48)</f>
        <v>10648.599999999999</v>
      </c>
    </row>
    <row r="50" spans="1:11" s="51" customFormat="1" ht="15" customHeight="1">
      <c r="A50" s="1047" t="s">
        <v>71</v>
      </c>
      <c r="B50" s="1047"/>
      <c r="C50" s="19"/>
      <c r="D50" s="19"/>
      <c r="E50" s="19"/>
      <c r="F50" s="19"/>
      <c r="G50" s="19"/>
      <c r="H50" s="19"/>
      <c r="I50" s="19"/>
      <c r="J50" s="19"/>
      <c r="K50" s="170"/>
    </row>
    <row r="51" spans="1:11" s="50" customFormat="1" ht="48" customHeight="1">
      <c r="A51" s="39" t="s">
        <v>332</v>
      </c>
      <c r="B51" s="39" t="s">
        <v>333</v>
      </c>
      <c r="C51" s="39" t="s">
        <v>213</v>
      </c>
      <c r="D51" s="115" t="s">
        <v>36</v>
      </c>
      <c r="E51" s="115" t="s">
        <v>73</v>
      </c>
      <c r="F51" s="115" t="s">
        <v>74</v>
      </c>
      <c r="G51" s="115" t="s">
        <v>37</v>
      </c>
      <c r="H51" s="268" t="s">
        <v>38</v>
      </c>
      <c r="I51" s="39" t="s">
        <v>15</v>
      </c>
      <c r="J51" s="115" t="s">
        <v>39</v>
      </c>
      <c r="K51" s="130" t="s">
        <v>58</v>
      </c>
    </row>
    <row r="52" spans="1:11" s="80" customFormat="1" ht="15" customHeight="1">
      <c r="A52" s="791"/>
      <c r="B52" s="791"/>
      <c r="C52" s="790"/>
      <c r="D52" s="22">
        <v>1</v>
      </c>
      <c r="E52" s="22">
        <v>1</v>
      </c>
      <c r="F52" s="22"/>
      <c r="G52" s="22"/>
      <c r="H52" s="22">
        <v>1</v>
      </c>
      <c r="I52" s="22" t="s">
        <v>18</v>
      </c>
      <c r="J52" s="22">
        <v>1971</v>
      </c>
      <c r="K52" s="145">
        <f>1739+549.45+445.85</f>
        <v>2734.2999999999997</v>
      </c>
    </row>
    <row r="53" spans="1:11" s="80" customFormat="1" ht="15" customHeight="1">
      <c r="A53" s="791"/>
      <c r="B53" s="791"/>
      <c r="C53" s="790"/>
      <c r="D53" s="22">
        <v>1</v>
      </c>
      <c r="E53" s="22"/>
      <c r="F53" s="22">
        <v>1</v>
      </c>
      <c r="G53" s="22"/>
      <c r="H53" s="22">
        <v>1</v>
      </c>
      <c r="I53" s="22" t="s">
        <v>18</v>
      </c>
      <c r="J53" s="22">
        <v>1981</v>
      </c>
      <c r="K53" s="145">
        <v>355.2</v>
      </c>
    </row>
    <row r="54" spans="1:11" s="51" customFormat="1" ht="15" customHeight="1">
      <c r="A54" s="1052" t="s">
        <v>22</v>
      </c>
      <c r="B54" s="1052"/>
      <c r="C54" s="83"/>
      <c r="D54" s="83">
        <f>SUM(D52:D53)</f>
        <v>2</v>
      </c>
      <c r="E54" s="83">
        <f>SUM(E52)</f>
        <v>1</v>
      </c>
      <c r="F54" s="83">
        <f>SUM(F53)</f>
        <v>1</v>
      </c>
      <c r="G54" s="83">
        <f>SUM(G52)</f>
        <v>0</v>
      </c>
      <c r="H54" s="83">
        <f>SUM(H52:H53)</f>
        <v>2</v>
      </c>
      <c r="I54" s="83"/>
      <c r="J54" s="83"/>
      <c r="K54" s="149">
        <f>SUM(K52:K53)</f>
        <v>3089.4999999999995</v>
      </c>
    </row>
    <row r="55" spans="1:11" s="51" customFormat="1" ht="15" customHeight="1">
      <c r="A55" s="1047" t="s">
        <v>72</v>
      </c>
      <c r="B55" s="1047"/>
      <c r="C55" s="19"/>
      <c r="D55" s="19"/>
      <c r="E55" s="19"/>
      <c r="F55" s="19"/>
      <c r="G55" s="19"/>
      <c r="H55" s="19"/>
      <c r="I55" s="19"/>
      <c r="J55" s="19"/>
      <c r="K55" s="170"/>
    </row>
    <row r="56" spans="1:11" s="50" customFormat="1" ht="48" customHeight="1">
      <c r="A56" s="39" t="s">
        <v>332</v>
      </c>
      <c r="B56" s="39" t="s">
        <v>333</v>
      </c>
      <c r="C56" s="39" t="s">
        <v>213</v>
      </c>
      <c r="D56" s="115" t="s">
        <v>36</v>
      </c>
      <c r="E56" s="115" t="s">
        <v>73</v>
      </c>
      <c r="F56" s="115" t="s">
        <v>74</v>
      </c>
      <c r="G56" s="115" t="s">
        <v>37</v>
      </c>
      <c r="H56" s="268" t="s">
        <v>38</v>
      </c>
      <c r="I56" s="39" t="s">
        <v>15</v>
      </c>
      <c r="J56" s="115" t="s">
        <v>39</v>
      </c>
      <c r="K56" s="130" t="s">
        <v>58</v>
      </c>
    </row>
    <row r="57" spans="1:11" s="80" customFormat="1" ht="15" customHeight="1">
      <c r="A57" s="791"/>
      <c r="B57" s="791"/>
      <c r="C57" s="790"/>
      <c r="D57" s="22">
        <v>1</v>
      </c>
      <c r="E57" s="22"/>
      <c r="F57" s="22">
        <v>1</v>
      </c>
      <c r="G57" s="22">
        <v>1</v>
      </c>
      <c r="H57" s="22"/>
      <c r="I57" s="22" t="s">
        <v>212</v>
      </c>
      <c r="J57" s="22">
        <v>1972</v>
      </c>
      <c r="K57" s="145">
        <v>727.05</v>
      </c>
    </row>
    <row r="58" spans="1:11" s="80" customFormat="1" ht="15" customHeight="1">
      <c r="A58" s="791"/>
      <c r="B58" s="791"/>
      <c r="C58" s="790"/>
      <c r="D58" s="22">
        <v>1</v>
      </c>
      <c r="E58" s="22"/>
      <c r="F58" s="22">
        <v>1</v>
      </c>
      <c r="G58" s="22"/>
      <c r="H58" s="22">
        <v>1</v>
      </c>
      <c r="I58" s="22" t="s">
        <v>18</v>
      </c>
      <c r="J58" s="22">
        <v>1982</v>
      </c>
      <c r="K58" s="145">
        <f>1572.5+314.5+333+407+277.5</f>
        <v>2904.5</v>
      </c>
    </row>
    <row r="59" spans="1:11" s="80" customFormat="1" ht="15" customHeight="1">
      <c r="A59" s="791"/>
      <c r="B59" s="791"/>
      <c r="C59" s="790"/>
      <c r="D59" s="22">
        <v>1</v>
      </c>
      <c r="E59" s="22"/>
      <c r="F59" s="22">
        <v>1</v>
      </c>
      <c r="G59" s="22"/>
      <c r="H59" s="22">
        <v>1</v>
      </c>
      <c r="I59" s="22" t="s">
        <v>18</v>
      </c>
      <c r="J59" s="22">
        <v>1980</v>
      </c>
      <c r="K59" s="145">
        <v>251.6</v>
      </c>
    </row>
    <row r="60" spans="1:11" s="80" customFormat="1" ht="15" customHeight="1">
      <c r="A60" s="791"/>
      <c r="B60" s="791"/>
      <c r="C60" s="790"/>
      <c r="D60" s="22">
        <v>1</v>
      </c>
      <c r="E60" s="22"/>
      <c r="F60" s="22">
        <v>1</v>
      </c>
      <c r="G60" s="22">
        <v>1</v>
      </c>
      <c r="H60" s="22"/>
      <c r="I60" s="22" t="s">
        <v>212</v>
      </c>
      <c r="J60" s="22">
        <v>1960</v>
      </c>
      <c r="K60" s="145">
        <f>1126.65+133.2</f>
        <v>1259.8500000000001</v>
      </c>
    </row>
    <row r="61" spans="1:11" s="80" customFormat="1" ht="15" customHeight="1">
      <c r="A61" s="791"/>
      <c r="B61" s="791"/>
      <c r="C61" s="790"/>
      <c r="D61" s="22">
        <v>1</v>
      </c>
      <c r="E61" s="22">
        <v>1</v>
      </c>
      <c r="F61" s="22"/>
      <c r="G61" s="22"/>
      <c r="H61" s="22">
        <v>1</v>
      </c>
      <c r="I61" s="22" t="s">
        <v>21</v>
      </c>
      <c r="J61" s="22">
        <v>1968</v>
      </c>
      <c r="K61" s="145">
        <v>2799.05</v>
      </c>
    </row>
    <row r="62" spans="1:11" s="80" customFormat="1" ht="15" customHeight="1">
      <c r="A62" s="791"/>
      <c r="B62" s="791"/>
      <c r="C62" s="790"/>
      <c r="D62" s="22">
        <v>1</v>
      </c>
      <c r="E62" s="22"/>
      <c r="F62" s="22">
        <v>1</v>
      </c>
      <c r="G62" s="22">
        <v>1</v>
      </c>
      <c r="H62" s="22"/>
      <c r="I62" s="22" t="s">
        <v>212</v>
      </c>
      <c r="J62" s="22">
        <v>1974</v>
      </c>
      <c r="K62" s="145">
        <f>3781.4+425.5+444</f>
        <v>4650.9</v>
      </c>
    </row>
    <row r="63" spans="1:11" s="80" customFormat="1" ht="15" customHeight="1">
      <c r="A63" s="791"/>
      <c r="B63" s="791"/>
      <c r="C63" s="790"/>
      <c r="D63" s="22">
        <v>1</v>
      </c>
      <c r="E63" s="22"/>
      <c r="F63" s="22">
        <v>1</v>
      </c>
      <c r="G63" s="22"/>
      <c r="H63" s="22">
        <v>1</v>
      </c>
      <c r="I63" s="22" t="s">
        <v>18</v>
      </c>
      <c r="J63" s="22">
        <v>1967</v>
      </c>
      <c r="K63" s="145">
        <f>2634.4+310.8+266.4</f>
        <v>3211.6000000000004</v>
      </c>
    </row>
    <row r="64" spans="1:11" s="80" customFormat="1" ht="15" customHeight="1">
      <c r="A64" s="791"/>
      <c r="B64" s="791"/>
      <c r="C64" s="790"/>
      <c r="D64" s="22">
        <v>1</v>
      </c>
      <c r="E64" s="22"/>
      <c r="F64" s="22">
        <v>1</v>
      </c>
      <c r="G64" s="22">
        <v>1</v>
      </c>
      <c r="H64" s="22"/>
      <c r="I64" s="22" t="s">
        <v>212</v>
      </c>
      <c r="J64" s="22">
        <v>1988</v>
      </c>
      <c r="K64" s="145">
        <v>830.7</v>
      </c>
    </row>
    <row r="65" spans="1:11" s="80" customFormat="1" ht="15" customHeight="1">
      <c r="A65" s="791"/>
      <c r="B65" s="791"/>
      <c r="C65" s="790"/>
      <c r="D65" s="22">
        <v>1</v>
      </c>
      <c r="E65" s="22"/>
      <c r="F65" s="22">
        <v>1</v>
      </c>
      <c r="G65" s="22"/>
      <c r="H65" s="22">
        <v>1</v>
      </c>
      <c r="I65" s="22" t="s">
        <v>427</v>
      </c>
      <c r="J65" s="22">
        <v>1986</v>
      </c>
      <c r="K65" s="145">
        <f>325.6+388.5+314.5</f>
        <v>1028.6</v>
      </c>
    </row>
    <row r="66" spans="1:11" s="80" customFormat="1" ht="15" customHeight="1">
      <c r="A66" s="791"/>
      <c r="B66" s="791"/>
      <c r="C66" s="790"/>
      <c r="D66" s="22">
        <v>1</v>
      </c>
      <c r="E66" s="22">
        <v>1</v>
      </c>
      <c r="F66" s="22"/>
      <c r="G66" s="22"/>
      <c r="H66" s="22">
        <v>1</v>
      </c>
      <c r="I66" s="22" t="s">
        <v>327</v>
      </c>
      <c r="J66" s="22">
        <v>1973</v>
      </c>
      <c r="K66" s="145">
        <f>1787.1+503.2</f>
        <v>2290.2999999999997</v>
      </c>
    </row>
    <row r="67" spans="1:11" s="80" customFormat="1" ht="15" customHeight="1">
      <c r="A67" s="791"/>
      <c r="B67" s="791"/>
      <c r="C67" s="790"/>
      <c r="D67" s="22">
        <v>1</v>
      </c>
      <c r="E67" s="22"/>
      <c r="F67" s="22">
        <v>1</v>
      </c>
      <c r="G67" s="22"/>
      <c r="H67" s="22">
        <v>1</v>
      </c>
      <c r="I67" s="22" t="s">
        <v>343</v>
      </c>
      <c r="J67" s="22">
        <v>1978</v>
      </c>
      <c r="K67" s="145">
        <f>932.4+296</f>
        <v>1228.4</v>
      </c>
    </row>
    <row r="68" spans="1:11" s="64" customFormat="1" ht="15" customHeight="1">
      <c r="A68" s="1036" t="s">
        <v>328</v>
      </c>
      <c r="B68" s="1036"/>
      <c r="C68" s="120"/>
      <c r="D68" s="120">
        <f>SUM(D57:D67)</f>
        <v>11</v>
      </c>
      <c r="E68" s="120">
        <f>SUM(E57:E67)</f>
        <v>2</v>
      </c>
      <c r="F68" s="120">
        <f>SUM(F57:F67)</f>
        <v>9</v>
      </c>
      <c r="G68" s="120">
        <f>SUM(G57:G67)</f>
        <v>4</v>
      </c>
      <c r="H68" s="120">
        <f>SUM(H57:H67)</f>
        <v>7</v>
      </c>
      <c r="I68" s="120"/>
      <c r="J68" s="109"/>
      <c r="K68" s="149">
        <f>SUM(K57:K67)</f>
        <v>21182.55</v>
      </c>
    </row>
    <row r="69" spans="1:11" s="51" customFormat="1" ht="15" customHeight="1">
      <c r="A69" s="1047" t="s">
        <v>250</v>
      </c>
      <c r="B69" s="1047"/>
      <c r="C69" s="19"/>
      <c r="D69" s="19"/>
      <c r="E69" s="19"/>
      <c r="F69" s="19"/>
      <c r="G69" s="19"/>
      <c r="H69" s="19"/>
      <c r="I69" s="19"/>
      <c r="J69" s="19"/>
      <c r="K69" s="170"/>
    </row>
    <row r="70" spans="1:11" s="51" customFormat="1" ht="15" customHeight="1">
      <c r="A70" s="791"/>
      <c r="B70" s="791"/>
      <c r="C70" s="790"/>
      <c r="D70" s="22">
        <v>1</v>
      </c>
      <c r="E70" s="285"/>
      <c r="F70" s="22">
        <v>1</v>
      </c>
      <c r="G70" s="22"/>
      <c r="H70" s="22">
        <v>1</v>
      </c>
      <c r="I70" s="21" t="s">
        <v>427</v>
      </c>
      <c r="J70" s="21">
        <v>1972</v>
      </c>
      <c r="K70" s="145">
        <f>1550.3+259</f>
        <v>1809.3</v>
      </c>
    </row>
    <row r="71" spans="1:11" s="64" customFormat="1" ht="15" customHeight="1">
      <c r="A71" s="1036" t="s">
        <v>251</v>
      </c>
      <c r="B71" s="1036"/>
      <c r="C71" s="120"/>
      <c r="D71" s="120">
        <f>SUM(D70)</f>
        <v>1</v>
      </c>
      <c r="E71" s="120">
        <v>0</v>
      </c>
      <c r="F71" s="120">
        <f>SUM(F70)</f>
        <v>1</v>
      </c>
      <c r="G71" s="120">
        <v>0</v>
      </c>
      <c r="H71" s="120">
        <f>SUM(H70)</f>
        <v>1</v>
      </c>
      <c r="I71" s="120"/>
      <c r="J71" s="109"/>
      <c r="K71" s="149">
        <f>SUM(K70)</f>
        <v>1809.3</v>
      </c>
    </row>
    <row r="72" spans="1:11" s="66" customFormat="1" ht="15" customHeight="1">
      <c r="A72" s="1037" t="s">
        <v>468</v>
      </c>
      <c r="B72" s="1037"/>
      <c r="C72" s="101"/>
      <c r="D72" s="101">
        <f>D71+D68+D54+D49+D41+D33+D28+D21+D8</f>
        <v>40</v>
      </c>
      <c r="E72" s="101">
        <f>E71+E68+E54+E49+E41+E33+E28+E21+E8</f>
        <v>13</v>
      </c>
      <c r="F72" s="101">
        <f>F71+F68+F54+F49+F41+F33+F28+F21+F8</f>
        <v>27</v>
      </c>
      <c r="G72" s="101">
        <f>G71+G68+G54+G49+G41+G33+G28+G21+G8</f>
        <v>12</v>
      </c>
      <c r="H72" s="101">
        <f>H71+H68+H54+H49+H41+H33+H28+H21+H8</f>
        <v>28</v>
      </c>
      <c r="I72" s="101"/>
      <c r="J72" s="107"/>
      <c r="K72" s="150">
        <f>K68+K54+K49+K41+K33+K28+K21+K8+K71</f>
        <v>72409.61</v>
      </c>
    </row>
    <row r="77" spans="1:2" ht="12.75">
      <c r="A77" s="81"/>
      <c r="B77" s="81"/>
    </row>
  </sheetData>
  <mergeCells count="23">
    <mergeCell ref="A68:B68"/>
    <mergeCell ref="A69:B69"/>
    <mergeCell ref="A71:B71"/>
    <mergeCell ref="A72:B72"/>
    <mergeCell ref="A42:B42"/>
    <mergeCell ref="A49:B49"/>
    <mergeCell ref="A50:B50"/>
    <mergeCell ref="A55:B55"/>
    <mergeCell ref="A54:B54"/>
    <mergeCell ref="A29:B29"/>
    <mergeCell ref="A33:B33"/>
    <mergeCell ref="A34:B34"/>
    <mergeCell ref="A41:B41"/>
    <mergeCell ref="A2:K2"/>
    <mergeCell ref="A1:J1"/>
    <mergeCell ref="A3:B3"/>
    <mergeCell ref="A28:B28"/>
    <mergeCell ref="A8:B8"/>
    <mergeCell ref="A9:B9"/>
    <mergeCell ref="A21:B21"/>
    <mergeCell ref="A25:B25"/>
    <mergeCell ref="A22:B22"/>
    <mergeCell ref="A24:B2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K52"/>
  <sheetViews>
    <sheetView workbookViewId="0" topLeftCell="A13">
      <selection activeCell="A3" sqref="A3"/>
    </sheetView>
  </sheetViews>
  <sheetFormatPr defaultColWidth="9.140625" defaultRowHeight="12.75"/>
  <cols>
    <col min="1" max="1" width="40.7109375" style="24" customWidth="1"/>
    <col min="2" max="2" width="19.140625" style="54" customWidth="1"/>
    <col min="3" max="3" width="12.7109375" style="24" customWidth="1"/>
    <col min="4" max="4" width="12.7109375" style="465" customWidth="1"/>
    <col min="5" max="10" width="12.7109375" style="25" customWidth="1"/>
    <col min="11" max="11" width="16.57421875" style="54" customWidth="1"/>
    <col min="12" max="16384" width="11.57421875" style="54" customWidth="1"/>
  </cols>
  <sheetData>
    <row r="1" spans="1:11" s="48" customFormat="1" ht="30" customHeight="1">
      <c r="A1" s="1096" t="s">
        <v>480</v>
      </c>
      <c r="B1" s="1097"/>
      <c r="C1" s="1097"/>
      <c r="D1" s="1097"/>
      <c r="E1" s="1097"/>
      <c r="F1" s="1097"/>
      <c r="G1" s="1097"/>
      <c r="H1" s="1097"/>
      <c r="I1" s="1097"/>
      <c r="J1" s="1097"/>
      <c r="K1" s="458">
        <v>40070157</v>
      </c>
    </row>
    <row r="2" spans="1:11" s="49" customFormat="1" ht="39" customHeight="1">
      <c r="A2" s="1026" t="s">
        <v>413</v>
      </c>
      <c r="B2" s="1095"/>
      <c r="C2" s="1095"/>
      <c r="D2" s="1095"/>
      <c r="E2" s="1095"/>
      <c r="F2" s="1095"/>
      <c r="G2" s="1095"/>
      <c r="H2" s="1095"/>
      <c r="I2" s="1095"/>
      <c r="J2" s="1095"/>
      <c r="K2" s="1095"/>
    </row>
    <row r="3" spans="1:11" s="50" customFormat="1" ht="60" customHeight="1">
      <c r="A3" s="39" t="s">
        <v>56</v>
      </c>
      <c r="B3" s="39" t="s">
        <v>84</v>
      </c>
      <c r="C3" s="282" t="s">
        <v>216</v>
      </c>
      <c r="D3" s="459" t="s">
        <v>40</v>
      </c>
      <c r="E3" s="282" t="s">
        <v>238</v>
      </c>
      <c r="F3" s="360" t="s">
        <v>239</v>
      </c>
      <c r="G3" s="360" t="s">
        <v>256</v>
      </c>
      <c r="H3" s="282" t="s">
        <v>240</v>
      </c>
      <c r="I3" s="283" t="s">
        <v>40</v>
      </c>
      <c r="J3" s="282" t="s">
        <v>241</v>
      </c>
      <c r="K3" s="39" t="s">
        <v>58</v>
      </c>
    </row>
    <row r="4" spans="1:11" s="51" customFormat="1" ht="15" customHeight="1">
      <c r="A4" s="31" t="s">
        <v>66</v>
      </c>
      <c r="B4" s="121"/>
      <c r="C4" s="18"/>
      <c r="D4" s="460"/>
      <c r="E4" s="73"/>
      <c r="F4" s="73"/>
      <c r="G4" s="73"/>
      <c r="H4" s="73"/>
      <c r="I4" s="73"/>
      <c r="J4" s="73"/>
      <c r="K4" s="122"/>
    </row>
    <row r="5" spans="1:11" s="65" customFormat="1" ht="15" customHeight="1">
      <c r="A5" s="772" t="s">
        <v>464</v>
      </c>
      <c r="B5" s="22" t="s">
        <v>153</v>
      </c>
      <c r="C5" s="181">
        <v>234</v>
      </c>
      <c r="D5" s="461">
        <v>20.384</v>
      </c>
      <c r="E5" s="145">
        <f>C4:C5*D5</f>
        <v>4769.856</v>
      </c>
      <c r="F5" s="145">
        <v>414.54</v>
      </c>
      <c r="G5" s="145">
        <v>41.6</v>
      </c>
      <c r="H5" s="181">
        <v>112</v>
      </c>
      <c r="I5" s="383">
        <f>22.85*1.04</f>
        <v>23.764000000000003</v>
      </c>
      <c r="J5" s="145">
        <f>H5*I5</f>
        <v>2661.568</v>
      </c>
      <c r="K5" s="145">
        <f>J5+G5+F5+E5</f>
        <v>7887.564</v>
      </c>
    </row>
    <row r="6" spans="1:11" s="65" customFormat="1" ht="15" customHeight="1">
      <c r="A6" s="773" t="s">
        <v>51</v>
      </c>
      <c r="B6" s="22" t="s">
        <v>53</v>
      </c>
      <c r="C6" s="181"/>
      <c r="D6" s="461"/>
      <c r="E6" s="145"/>
      <c r="F6" s="145"/>
      <c r="G6" s="145"/>
      <c r="H6" s="145"/>
      <c r="I6" s="369"/>
      <c r="J6" s="145"/>
      <c r="K6" s="145">
        <f>943.89*4-J7</f>
        <v>1113.9919999999997</v>
      </c>
    </row>
    <row r="7" spans="1:11" s="65" customFormat="1" ht="15" customHeight="1">
      <c r="A7" s="107" t="s">
        <v>75</v>
      </c>
      <c r="B7" s="257"/>
      <c r="C7" s="464">
        <f>SUM(C5:C6)</f>
        <v>234</v>
      </c>
      <c r="D7" s="462"/>
      <c r="E7" s="149">
        <f>SUM(E5:E6)</f>
        <v>4769.856</v>
      </c>
      <c r="F7" s="149">
        <f>SUM(F5:F6)</f>
        <v>414.54</v>
      </c>
      <c r="G7" s="149">
        <f>SUM(G5:G6)</f>
        <v>41.6</v>
      </c>
      <c r="H7" s="464">
        <f>SUM(H5:H6)</f>
        <v>112</v>
      </c>
      <c r="I7" s="147"/>
      <c r="J7" s="149">
        <f>SUM(J5:J6)</f>
        <v>2661.568</v>
      </c>
      <c r="K7" s="149">
        <f>SUM(K5:K6)</f>
        <v>9001.556</v>
      </c>
    </row>
    <row r="8" spans="1:11" s="51" customFormat="1" ht="15" customHeight="1">
      <c r="A8" s="31" t="s">
        <v>64</v>
      </c>
      <c r="B8" s="121"/>
      <c r="C8" s="179"/>
      <c r="D8" s="463"/>
      <c r="E8" s="164"/>
      <c r="F8" s="164"/>
      <c r="G8" s="164"/>
      <c r="H8" s="164"/>
      <c r="I8" s="164"/>
      <c r="J8" s="164"/>
      <c r="K8" s="173"/>
    </row>
    <row r="9" spans="1:11" s="65" customFormat="1" ht="15" customHeight="1">
      <c r="A9" s="772" t="s">
        <v>464</v>
      </c>
      <c r="B9" s="22" t="s">
        <v>153</v>
      </c>
      <c r="C9" s="181">
        <f>359.5+2.5</f>
        <v>362</v>
      </c>
      <c r="D9" s="461">
        <v>20.384</v>
      </c>
      <c r="E9" s="145">
        <f>C9*D9</f>
        <v>7379.008</v>
      </c>
      <c r="F9" s="145">
        <v>481.16</v>
      </c>
      <c r="G9" s="145">
        <v>256.88</v>
      </c>
      <c r="H9" s="181">
        <v>131</v>
      </c>
      <c r="I9" s="383">
        <f>22.85*1.04</f>
        <v>23.764000000000003</v>
      </c>
      <c r="J9" s="145">
        <f>H9*I9</f>
        <v>3113.0840000000003</v>
      </c>
      <c r="K9" s="145">
        <f>J9+G9+F9+E9</f>
        <v>11230.132</v>
      </c>
    </row>
    <row r="10" spans="1:11" s="65" customFormat="1" ht="15" customHeight="1">
      <c r="A10" s="773" t="s">
        <v>51</v>
      </c>
      <c r="B10" s="22" t="s">
        <v>53</v>
      </c>
      <c r="C10" s="181"/>
      <c r="D10" s="461"/>
      <c r="E10" s="145"/>
      <c r="F10" s="145"/>
      <c r="G10" s="145"/>
      <c r="H10" s="145"/>
      <c r="I10" s="145"/>
      <c r="J10" s="145"/>
      <c r="K10" s="145">
        <f>1153.64*4-J11</f>
        <v>1501.476</v>
      </c>
    </row>
    <row r="11" spans="1:11" s="65" customFormat="1" ht="15" customHeight="1">
      <c r="A11" s="107" t="s">
        <v>151</v>
      </c>
      <c r="B11" s="257"/>
      <c r="C11" s="464">
        <f>SUM(C9:C10)</f>
        <v>362</v>
      </c>
      <c r="D11" s="462"/>
      <c r="E11" s="149">
        <f>SUM(E9:E10)</f>
        <v>7379.008</v>
      </c>
      <c r="F11" s="149">
        <f>SUM(F9:F10)</f>
        <v>481.16</v>
      </c>
      <c r="G11" s="149">
        <f>SUM(G9:G10)</f>
        <v>256.88</v>
      </c>
      <c r="H11" s="464">
        <f>SUM(H9:H10)</f>
        <v>131</v>
      </c>
      <c r="I11" s="147"/>
      <c r="J11" s="149">
        <f>SUM(J9:J10)</f>
        <v>3113.0840000000003</v>
      </c>
      <c r="K11" s="149">
        <f>SUM(K9:K10)</f>
        <v>12731.608</v>
      </c>
    </row>
    <row r="12" spans="1:11" s="51" customFormat="1" ht="15" customHeight="1">
      <c r="A12" s="31" t="s">
        <v>67</v>
      </c>
      <c r="B12" s="123"/>
      <c r="C12" s="179"/>
      <c r="D12" s="463"/>
      <c r="E12" s="164"/>
      <c r="F12" s="164"/>
      <c r="G12" s="164"/>
      <c r="H12" s="164"/>
      <c r="I12" s="164"/>
      <c r="J12" s="164"/>
      <c r="K12" s="173"/>
    </row>
    <row r="13" spans="1:11" s="80" customFormat="1" ht="15" customHeight="1">
      <c r="A13" s="772" t="s">
        <v>464</v>
      </c>
      <c r="B13" s="22" t="s">
        <v>52</v>
      </c>
      <c r="C13" s="181">
        <v>36</v>
      </c>
      <c r="D13" s="461">
        <v>20.384</v>
      </c>
      <c r="E13" s="145">
        <f>C13*D13</f>
        <v>733.8240000000001</v>
      </c>
      <c r="F13" s="145">
        <v>74.88</v>
      </c>
      <c r="G13" s="145">
        <v>0</v>
      </c>
      <c r="H13" s="181">
        <v>0</v>
      </c>
      <c r="I13" s="145">
        <v>23.76</v>
      </c>
      <c r="J13" s="145">
        <v>0</v>
      </c>
      <c r="K13" s="145">
        <f>E13+F13+G13-0.03</f>
        <v>808.6740000000001</v>
      </c>
    </row>
    <row r="14" spans="1:11" s="65" customFormat="1" ht="15" customHeight="1">
      <c r="A14" s="456" t="s">
        <v>95</v>
      </c>
      <c r="B14" s="257"/>
      <c r="C14" s="464">
        <f>SUM(C13)</f>
        <v>36</v>
      </c>
      <c r="D14" s="462"/>
      <c r="E14" s="149">
        <f>SUM(E13)</f>
        <v>733.8240000000001</v>
      </c>
      <c r="F14" s="149">
        <f>SUM(F13)</f>
        <v>74.88</v>
      </c>
      <c r="G14" s="149">
        <v>0</v>
      </c>
      <c r="H14" s="464">
        <f>SUM(H13)</f>
        <v>0</v>
      </c>
      <c r="I14" s="147"/>
      <c r="J14" s="147"/>
      <c r="K14" s="149">
        <f>SUM(K13:K13)</f>
        <v>808.6740000000001</v>
      </c>
    </row>
    <row r="15" spans="1:11" s="51" customFormat="1" ht="15" customHeight="1">
      <c r="A15" s="31" t="s">
        <v>68</v>
      </c>
      <c r="B15" s="123"/>
      <c r="C15" s="179"/>
      <c r="D15" s="463"/>
      <c r="E15" s="164"/>
      <c r="F15" s="164"/>
      <c r="G15" s="164"/>
      <c r="H15" s="164"/>
      <c r="I15" s="164"/>
      <c r="J15" s="164"/>
      <c r="K15" s="173"/>
    </row>
    <row r="16" spans="1:11" s="80" customFormat="1" ht="15" customHeight="1">
      <c r="A16" s="772" t="s">
        <v>464</v>
      </c>
      <c r="B16" s="22" t="s">
        <v>153</v>
      </c>
      <c r="C16" s="181">
        <v>278</v>
      </c>
      <c r="D16" s="461">
        <v>20.384</v>
      </c>
      <c r="E16" s="145">
        <f>C16*D16</f>
        <v>5666.752</v>
      </c>
      <c r="F16" s="145">
        <f>434.3+80*0.37*1.04</f>
        <v>465.084</v>
      </c>
      <c r="G16" s="145">
        <v>59.97</v>
      </c>
      <c r="H16" s="181">
        <v>83</v>
      </c>
      <c r="I16" s="383">
        <f>22.85*1.04</f>
        <v>23.764000000000003</v>
      </c>
      <c r="J16" s="145">
        <f>H16*I16</f>
        <v>1972.4120000000003</v>
      </c>
      <c r="K16" s="145">
        <f>E16+F16+G16+J16</f>
        <v>8164.218000000001</v>
      </c>
    </row>
    <row r="17" spans="1:11" s="80" customFormat="1" ht="15" customHeight="1">
      <c r="A17" s="773" t="s">
        <v>51</v>
      </c>
      <c r="B17" s="22" t="s">
        <v>53</v>
      </c>
      <c r="C17" s="181"/>
      <c r="D17" s="461"/>
      <c r="E17" s="145"/>
      <c r="F17" s="145"/>
      <c r="G17" s="145"/>
      <c r="H17" s="181"/>
      <c r="I17" s="145"/>
      <c r="J17" s="145"/>
      <c r="K17" s="145">
        <f>943.89*4-J18</f>
        <v>1803.1479999999997</v>
      </c>
    </row>
    <row r="18" spans="1:11" s="65" customFormat="1" ht="15" customHeight="1">
      <c r="A18" s="361" t="s">
        <v>478</v>
      </c>
      <c r="B18" s="257"/>
      <c r="C18" s="464">
        <f>SUM(C16:C17)</f>
        <v>278</v>
      </c>
      <c r="D18" s="462"/>
      <c r="E18" s="149">
        <f>SUM(E16:E17)</f>
        <v>5666.752</v>
      </c>
      <c r="F18" s="149">
        <f>SUM(F16:F17)</f>
        <v>465.084</v>
      </c>
      <c r="G18" s="149">
        <f>SUM(G16:G17)</f>
        <v>59.97</v>
      </c>
      <c r="H18" s="464">
        <f>SUM(H16:H17)</f>
        <v>83</v>
      </c>
      <c r="I18" s="147"/>
      <c r="J18" s="149">
        <f>SUM(J16:J17)</f>
        <v>1972.4120000000003</v>
      </c>
      <c r="K18" s="149">
        <f>SUM(K16:K17)</f>
        <v>9967.366</v>
      </c>
    </row>
    <row r="19" spans="1:11" s="51" customFormat="1" ht="15" customHeight="1">
      <c r="A19" s="31" t="s">
        <v>65</v>
      </c>
      <c r="B19" s="121"/>
      <c r="C19" s="179"/>
      <c r="D19" s="463"/>
      <c r="E19" s="164"/>
      <c r="F19" s="164"/>
      <c r="G19" s="164"/>
      <c r="H19" s="164"/>
      <c r="I19" s="164"/>
      <c r="J19" s="164"/>
      <c r="K19" s="173"/>
    </row>
    <row r="20" spans="1:11" s="80" customFormat="1" ht="15" customHeight="1">
      <c r="A20" s="772" t="s">
        <v>464</v>
      </c>
      <c r="B20" s="22" t="s">
        <v>153</v>
      </c>
      <c r="C20" s="181">
        <f>146.5+4</f>
        <v>150.5</v>
      </c>
      <c r="D20" s="461">
        <v>20.384</v>
      </c>
      <c r="E20" s="145">
        <f>C20*D20</f>
        <v>3067.792</v>
      </c>
      <c r="F20" s="145">
        <f>444.45</f>
        <v>444.45</v>
      </c>
      <c r="G20" s="145">
        <f>6473.39-6448.76</f>
        <v>24.63000000000011</v>
      </c>
      <c r="H20" s="181">
        <v>88</v>
      </c>
      <c r="I20" s="383">
        <f>22.85*1.04</f>
        <v>23.764000000000003</v>
      </c>
      <c r="J20" s="145">
        <f>H20*I20</f>
        <v>2091.2320000000004</v>
      </c>
      <c r="K20" s="145">
        <f>E20+F20+G20+J20</f>
        <v>5628.104</v>
      </c>
    </row>
    <row r="21" spans="1:11" s="80" customFormat="1" ht="15" customHeight="1">
      <c r="A21" s="773" t="s">
        <v>51</v>
      </c>
      <c r="B21" s="22" t="s">
        <v>53</v>
      </c>
      <c r="C21" s="181"/>
      <c r="D21" s="461"/>
      <c r="E21" s="145"/>
      <c r="F21" s="145"/>
      <c r="G21" s="145"/>
      <c r="H21" s="145"/>
      <c r="I21" s="145"/>
      <c r="J21" s="145"/>
      <c r="K21" s="145">
        <f>734.13*4-J22</f>
        <v>845.2879999999996</v>
      </c>
    </row>
    <row r="22" spans="1:11" s="65" customFormat="1" ht="15" customHeight="1">
      <c r="A22" s="107" t="s">
        <v>152</v>
      </c>
      <c r="B22" s="257"/>
      <c r="C22" s="464">
        <f>SUM(C20:C21)</f>
        <v>150.5</v>
      </c>
      <c r="D22" s="462"/>
      <c r="E22" s="149">
        <f>SUM(E20:E21)</f>
        <v>3067.792</v>
      </c>
      <c r="F22" s="149">
        <f>SUM(F20:F21)</f>
        <v>444.45</v>
      </c>
      <c r="G22" s="149">
        <f>SUM(G20:G21)</f>
        <v>24.63000000000011</v>
      </c>
      <c r="H22" s="464">
        <f>SUM(H20:H21)</f>
        <v>88</v>
      </c>
      <c r="I22" s="147"/>
      <c r="J22" s="149">
        <f>SUM(J20:J21)</f>
        <v>2091.2320000000004</v>
      </c>
      <c r="K22" s="149">
        <f>SUM(K20:K21)</f>
        <v>6473.392</v>
      </c>
    </row>
    <row r="23" spans="1:11" s="51" customFormat="1" ht="14.25" customHeight="1">
      <c r="A23" s="31" t="s">
        <v>69</v>
      </c>
      <c r="B23" s="123"/>
      <c r="C23" s="179"/>
      <c r="D23" s="463"/>
      <c r="E23" s="164"/>
      <c r="F23" s="164"/>
      <c r="G23" s="164"/>
      <c r="H23" s="164"/>
      <c r="I23" s="164"/>
      <c r="J23" s="164"/>
      <c r="K23" s="173"/>
    </row>
    <row r="24" spans="1:11" s="65" customFormat="1" ht="15" customHeight="1">
      <c r="A24" s="772" t="s">
        <v>464</v>
      </c>
      <c r="B24" s="22" t="s">
        <v>153</v>
      </c>
      <c r="C24" s="181">
        <v>242</v>
      </c>
      <c r="D24" s="461">
        <v>20.384</v>
      </c>
      <c r="E24" s="145">
        <f>C24*D24</f>
        <v>4932.928</v>
      </c>
      <c r="F24" s="145">
        <v>486.72</v>
      </c>
      <c r="G24" s="145">
        <v>263.17</v>
      </c>
      <c r="H24" s="181">
        <v>78</v>
      </c>
      <c r="I24" s="383">
        <f>22.85*1.04</f>
        <v>23.764000000000003</v>
      </c>
      <c r="J24" s="145">
        <f>H24*I24</f>
        <v>1853.5920000000003</v>
      </c>
      <c r="K24" s="145">
        <f>E24+F24+G24+J24</f>
        <v>7536.410000000001</v>
      </c>
    </row>
    <row r="25" spans="1:11" s="65" customFormat="1" ht="15" customHeight="1">
      <c r="A25" s="773" t="s">
        <v>51</v>
      </c>
      <c r="B25" s="22" t="s">
        <v>53</v>
      </c>
      <c r="C25" s="181"/>
      <c r="D25" s="461"/>
      <c r="E25" s="145"/>
      <c r="F25" s="145"/>
      <c r="G25" s="145"/>
      <c r="H25" s="145"/>
      <c r="I25" s="145"/>
      <c r="J25" s="145"/>
      <c r="K25" s="145">
        <f>629.26*4-J26</f>
        <v>663.4479999999996</v>
      </c>
    </row>
    <row r="26" spans="1:11" s="65" customFormat="1" ht="15" customHeight="1">
      <c r="A26" s="107" t="s">
        <v>13</v>
      </c>
      <c r="B26" s="257"/>
      <c r="C26" s="464">
        <f>SUM(C24:C25)</f>
        <v>242</v>
      </c>
      <c r="D26" s="462"/>
      <c r="E26" s="149">
        <f>SUM(E24:E25)</f>
        <v>4932.928</v>
      </c>
      <c r="F26" s="149">
        <f>SUM(F24:F25)</f>
        <v>486.72</v>
      </c>
      <c r="G26" s="149">
        <f>SUM(G24:G25)</f>
        <v>263.17</v>
      </c>
      <c r="H26" s="464">
        <f>SUM(H24:H25)</f>
        <v>78</v>
      </c>
      <c r="I26" s="147"/>
      <c r="J26" s="149">
        <f>SUM(J24:J25)</f>
        <v>1853.5920000000003</v>
      </c>
      <c r="K26" s="149">
        <f>SUM(K24:K25)</f>
        <v>8199.858</v>
      </c>
    </row>
    <row r="27" spans="1:11" s="51" customFormat="1" ht="15" customHeight="1">
      <c r="A27" s="31" t="s">
        <v>70</v>
      </c>
      <c r="B27" s="123"/>
      <c r="C27" s="179"/>
      <c r="D27" s="463"/>
      <c r="E27" s="164"/>
      <c r="F27" s="164"/>
      <c r="G27" s="164"/>
      <c r="H27" s="164"/>
      <c r="I27" s="164"/>
      <c r="J27" s="164"/>
      <c r="K27" s="173"/>
    </row>
    <row r="28" spans="1:11" s="53" customFormat="1" ht="15" customHeight="1">
      <c r="A28" s="772" t="s">
        <v>464</v>
      </c>
      <c r="B28" s="22" t="s">
        <v>153</v>
      </c>
      <c r="C28" s="180">
        <v>311</v>
      </c>
      <c r="D28" s="461">
        <v>20.384</v>
      </c>
      <c r="E28" s="145">
        <f>C28*D28</f>
        <v>6339.424</v>
      </c>
      <c r="F28" s="145">
        <f>509.18+60*0.37*1.04</f>
        <v>532.268</v>
      </c>
      <c r="G28" s="145">
        <v>69.47</v>
      </c>
      <c r="H28" s="181">
        <v>90</v>
      </c>
      <c r="I28" s="383">
        <f>22.85*1.04</f>
        <v>23.764000000000003</v>
      </c>
      <c r="J28" s="145">
        <f>H28*I28</f>
        <v>2138.76</v>
      </c>
      <c r="K28" s="145">
        <f>E28+F28+G28+J28</f>
        <v>9079.922</v>
      </c>
    </row>
    <row r="29" spans="1:11" s="53" customFormat="1" ht="15" customHeight="1">
      <c r="A29" s="773" t="s">
        <v>51</v>
      </c>
      <c r="B29" s="22" t="s">
        <v>53</v>
      </c>
      <c r="C29" s="180"/>
      <c r="D29" s="461"/>
      <c r="E29" s="145"/>
      <c r="F29" s="145"/>
      <c r="G29" s="145"/>
      <c r="H29" s="145"/>
      <c r="I29" s="145"/>
      <c r="J29" s="145"/>
      <c r="K29" s="145">
        <f>839.01*4-J30</f>
        <v>1217.2799999999997</v>
      </c>
    </row>
    <row r="30" spans="1:11" s="65" customFormat="1" ht="15" customHeight="1">
      <c r="A30" s="107" t="s">
        <v>341</v>
      </c>
      <c r="B30" s="257"/>
      <c r="C30" s="464">
        <f>SUM(C28:C29)</f>
        <v>311</v>
      </c>
      <c r="D30" s="462"/>
      <c r="E30" s="149">
        <f>SUM(E28:E29)</f>
        <v>6339.424</v>
      </c>
      <c r="F30" s="149">
        <f>SUM(F28:F29)</f>
        <v>532.268</v>
      </c>
      <c r="G30" s="149">
        <f>SUM(G28:G29)</f>
        <v>69.47</v>
      </c>
      <c r="H30" s="464">
        <f>SUM(H28:H29)</f>
        <v>90</v>
      </c>
      <c r="I30" s="147"/>
      <c r="J30" s="149">
        <f>SUM(J28:J29)</f>
        <v>2138.76</v>
      </c>
      <c r="K30" s="149">
        <f>SUM(K28:K29)</f>
        <v>10297.202000000001</v>
      </c>
    </row>
    <row r="31" spans="1:11" s="51" customFormat="1" ht="15" customHeight="1">
      <c r="A31" s="31" t="s">
        <v>71</v>
      </c>
      <c r="B31" s="123"/>
      <c r="C31" s="179"/>
      <c r="D31" s="463"/>
      <c r="E31" s="164"/>
      <c r="F31" s="164"/>
      <c r="G31" s="164"/>
      <c r="H31" s="164"/>
      <c r="I31" s="164"/>
      <c r="J31" s="164"/>
      <c r="K31" s="173"/>
    </row>
    <row r="32" spans="1:11" s="53" customFormat="1" ht="15" customHeight="1">
      <c r="A32" s="772" t="s">
        <v>464</v>
      </c>
      <c r="B32" s="22" t="s">
        <v>153</v>
      </c>
      <c r="C32" s="180">
        <v>150</v>
      </c>
      <c r="D32" s="461">
        <v>20.384</v>
      </c>
      <c r="E32" s="145">
        <f>C32*D32</f>
        <v>3057.6</v>
      </c>
      <c r="F32" s="145">
        <v>493.5</v>
      </c>
      <c r="G32" s="145">
        <f>57.49+40.77</f>
        <v>98.26</v>
      </c>
      <c r="H32" s="181">
        <v>72</v>
      </c>
      <c r="I32" s="383">
        <f>22.85*1.04</f>
        <v>23.764000000000003</v>
      </c>
      <c r="J32" s="145">
        <f>H32*I32</f>
        <v>1711.0080000000003</v>
      </c>
      <c r="K32" s="145">
        <f>E32+F32+G32+J32</f>
        <v>5360.368</v>
      </c>
    </row>
    <row r="33" spans="1:11" s="53" customFormat="1" ht="15" customHeight="1">
      <c r="A33" s="773" t="s">
        <v>51</v>
      </c>
      <c r="B33" s="22" t="s">
        <v>53</v>
      </c>
      <c r="C33" s="180"/>
      <c r="D33" s="461"/>
      <c r="E33" s="145"/>
      <c r="F33" s="145"/>
      <c r="G33" s="145"/>
      <c r="H33" s="145"/>
      <c r="I33" s="145"/>
      <c r="J33" s="145"/>
      <c r="K33" s="145">
        <f>524.38*4-J34</f>
        <v>386.5119999999997</v>
      </c>
    </row>
    <row r="34" spans="1:11" s="53" customFormat="1" ht="15" customHeight="1">
      <c r="A34" s="107" t="s">
        <v>22</v>
      </c>
      <c r="B34" s="257"/>
      <c r="C34" s="464">
        <f>SUM(C32:C33)</f>
        <v>150</v>
      </c>
      <c r="D34" s="462"/>
      <c r="E34" s="149">
        <f>SUM(E32:E33)</f>
        <v>3057.6</v>
      </c>
      <c r="F34" s="149">
        <f>SUM(F32:F33)</f>
        <v>493.5</v>
      </c>
      <c r="G34" s="149">
        <f>SUM(G32:G33)</f>
        <v>98.26</v>
      </c>
      <c r="H34" s="464">
        <f>SUM(H32:H33)</f>
        <v>72</v>
      </c>
      <c r="I34" s="147"/>
      <c r="J34" s="149">
        <f>SUM(J32:J33)</f>
        <v>1711.0080000000003</v>
      </c>
      <c r="K34" s="149">
        <f>SUM(K32:K33)</f>
        <v>5746.88</v>
      </c>
    </row>
    <row r="35" spans="1:11" s="51" customFormat="1" ht="15" customHeight="1">
      <c r="A35" s="31" t="s">
        <v>72</v>
      </c>
      <c r="B35" s="123"/>
      <c r="C35" s="179"/>
      <c r="D35" s="463"/>
      <c r="E35" s="164"/>
      <c r="F35" s="164"/>
      <c r="G35" s="164"/>
      <c r="H35" s="164"/>
      <c r="I35" s="164"/>
      <c r="J35" s="164"/>
      <c r="K35" s="173"/>
    </row>
    <row r="36" spans="1:11" s="53" customFormat="1" ht="15" customHeight="1">
      <c r="A36" s="772" t="s">
        <v>464</v>
      </c>
      <c r="B36" s="22" t="s">
        <v>153</v>
      </c>
      <c r="C36" s="180">
        <v>253</v>
      </c>
      <c r="D36" s="461">
        <v>20.384</v>
      </c>
      <c r="E36" s="145">
        <f>C36*D36</f>
        <v>5157.152</v>
      </c>
      <c r="F36" s="145">
        <v>438.52</v>
      </c>
      <c r="G36" s="145">
        <f>238.78-40.75</f>
        <v>198.03</v>
      </c>
      <c r="H36" s="181">
        <v>79</v>
      </c>
      <c r="I36" s="383">
        <f>22.85*1.04</f>
        <v>23.764000000000003</v>
      </c>
      <c r="J36" s="145">
        <f>H36*I36</f>
        <v>1877.3560000000002</v>
      </c>
      <c r="K36" s="145">
        <f>E36+F36+G36+J36</f>
        <v>7671.058000000001</v>
      </c>
    </row>
    <row r="37" spans="1:11" s="53" customFormat="1" ht="15" customHeight="1">
      <c r="A37" s="773" t="s">
        <v>51</v>
      </c>
      <c r="B37" s="22" t="s">
        <v>53</v>
      </c>
      <c r="C37" s="180"/>
      <c r="D37" s="461"/>
      <c r="E37" s="145"/>
      <c r="F37" s="145"/>
      <c r="G37" s="145"/>
      <c r="H37" s="145"/>
      <c r="I37" s="145"/>
      <c r="J37" s="145"/>
      <c r="K37" s="145">
        <f>629.26*4-J38</f>
        <v>639.6839999999997</v>
      </c>
    </row>
    <row r="38" spans="1:11" s="53" customFormat="1" ht="15" customHeight="1">
      <c r="A38" s="107" t="s">
        <v>328</v>
      </c>
      <c r="B38" s="257"/>
      <c r="C38" s="464">
        <f>SUM(C36:C37)</f>
        <v>253</v>
      </c>
      <c r="D38" s="462"/>
      <c r="E38" s="149">
        <f>SUM(E36:E37)</f>
        <v>5157.152</v>
      </c>
      <c r="F38" s="149">
        <f>SUM(F36:F37)</f>
        <v>438.52</v>
      </c>
      <c r="G38" s="149">
        <f>SUM(G36:G37)</f>
        <v>198.03</v>
      </c>
      <c r="H38" s="464">
        <f>SUM(H36:H37)</f>
        <v>79</v>
      </c>
      <c r="I38" s="147"/>
      <c r="J38" s="149">
        <f>SUM(J36:J37)</f>
        <v>1877.3560000000002</v>
      </c>
      <c r="K38" s="149">
        <f>SUM(K36:K37)</f>
        <v>8310.742</v>
      </c>
    </row>
    <row r="39" spans="1:11" s="162" customFormat="1" ht="15" customHeight="1">
      <c r="A39" s="100" t="s">
        <v>468</v>
      </c>
      <c r="B39" s="106"/>
      <c r="C39" s="183">
        <f>C36+C32+C28+C24+C20+C16+C13+C9+C5</f>
        <v>2016.5</v>
      </c>
      <c r="D39" s="464"/>
      <c r="E39" s="149"/>
      <c r="F39" s="149"/>
      <c r="G39" s="149"/>
      <c r="H39" s="183">
        <f>H36+H32+H28+H24+H20+H16+H13+H9+H5</f>
        <v>733</v>
      </c>
      <c r="I39" s="149"/>
      <c r="J39" s="149"/>
      <c r="K39" s="150">
        <f>K38+K34+K30+K26+K22+K18+K14+K11+K7</f>
        <v>71537.278</v>
      </c>
    </row>
    <row r="46" ht="12.75">
      <c r="K46" s="82"/>
    </row>
    <row r="49" ht="12.75">
      <c r="B49" s="82"/>
    </row>
    <row r="52" ht="12.75">
      <c r="K52" s="82"/>
    </row>
  </sheetData>
  <mergeCells count="2">
    <mergeCell ref="A2:K2"/>
    <mergeCell ref="A1:J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</sheetPr>
  <dimension ref="A1:U98"/>
  <sheetViews>
    <sheetView workbookViewId="0" topLeftCell="A64">
      <selection activeCell="D80" sqref="D80"/>
    </sheetView>
  </sheetViews>
  <sheetFormatPr defaultColWidth="9.140625" defaultRowHeight="12.75"/>
  <cols>
    <col min="1" max="3" width="20.7109375" style="4" customWidth="1"/>
    <col min="4" max="4" width="7.7109375" style="4" customWidth="1"/>
    <col min="5" max="5" width="5.7109375" style="303" customWidth="1"/>
    <col min="6" max="6" width="5.7109375" style="3" customWidth="1"/>
    <col min="7" max="8" width="9.7109375" style="3" customWidth="1"/>
    <col min="9" max="9" width="13.421875" style="3" customWidth="1"/>
    <col min="10" max="10" width="15.140625" style="3" customWidth="1"/>
    <col min="11" max="11" width="10.140625" style="3" customWidth="1"/>
    <col min="12" max="12" width="14.28125" style="9" customWidth="1"/>
    <col min="13" max="13" width="12.7109375" style="4" customWidth="1"/>
    <col min="14" max="14" width="12.7109375" style="11" customWidth="1"/>
    <col min="15" max="15" width="13.57421875" style="210" customWidth="1"/>
    <col min="16" max="18" width="12.7109375" style="210" customWidth="1"/>
    <col min="19" max="19" width="12.7109375" style="11" customWidth="1"/>
    <col min="20" max="20" width="12.7109375" style="210" customWidth="1"/>
    <col min="21" max="21" width="18.7109375" style="212" customWidth="1"/>
    <col min="22" max="16384" width="11.57421875" style="9" customWidth="1"/>
  </cols>
  <sheetData>
    <row r="1" spans="1:21" s="48" customFormat="1" ht="30" customHeight="1">
      <c r="A1" s="1007" t="s">
        <v>448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458">
        <v>40070181</v>
      </c>
    </row>
    <row r="2" spans="1:21" s="49" customFormat="1" ht="48.75" customHeight="1">
      <c r="A2" s="1044" t="s">
        <v>42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  <c r="P2" s="1044"/>
      <c r="Q2" s="1044"/>
      <c r="R2" s="1044"/>
      <c r="S2" s="1044"/>
      <c r="T2" s="1044"/>
      <c r="U2" s="1044"/>
    </row>
    <row r="3" spans="1:21" s="4" customFormat="1" ht="15" customHeight="1">
      <c r="A3" s="1027" t="s">
        <v>66</v>
      </c>
      <c r="B3" s="1027"/>
      <c r="C3" s="87"/>
      <c r="D3" s="87"/>
      <c r="E3" s="300"/>
      <c r="F3" s="87"/>
      <c r="G3" s="87"/>
      <c r="H3" s="87"/>
      <c r="I3" s="87"/>
      <c r="J3" s="87"/>
      <c r="K3" s="87"/>
      <c r="L3" s="593"/>
      <c r="M3" s="44"/>
      <c r="N3" s="67"/>
      <c r="O3" s="67"/>
      <c r="P3" s="67"/>
      <c r="Q3" s="67"/>
      <c r="R3" s="67"/>
      <c r="S3" s="67"/>
      <c r="T3" s="196"/>
      <c r="U3" s="211"/>
    </row>
    <row r="4" spans="1:21" s="50" customFormat="1" ht="59.25" customHeight="1">
      <c r="A4" s="39" t="s">
        <v>332</v>
      </c>
      <c r="B4" s="39" t="s">
        <v>333</v>
      </c>
      <c r="C4" s="39" t="s">
        <v>213</v>
      </c>
      <c r="D4" s="115" t="s">
        <v>36</v>
      </c>
      <c r="E4" s="115" t="s">
        <v>73</v>
      </c>
      <c r="F4" s="115" t="s">
        <v>74</v>
      </c>
      <c r="G4" s="115" t="s">
        <v>37</v>
      </c>
      <c r="H4" s="115" t="s">
        <v>38</v>
      </c>
      <c r="I4" s="115" t="s">
        <v>15</v>
      </c>
      <c r="J4" s="115" t="s">
        <v>214</v>
      </c>
      <c r="K4" s="115" t="s">
        <v>39</v>
      </c>
      <c r="L4" s="115" t="s">
        <v>84</v>
      </c>
      <c r="M4" s="360" t="s">
        <v>259</v>
      </c>
      <c r="N4" s="594" t="s">
        <v>40</v>
      </c>
      <c r="O4" s="360" t="s">
        <v>238</v>
      </c>
      <c r="P4" s="360" t="s">
        <v>239</v>
      </c>
      <c r="Q4" s="360" t="s">
        <v>242</v>
      </c>
      <c r="R4" s="360" t="s">
        <v>240</v>
      </c>
      <c r="S4" s="594" t="s">
        <v>40</v>
      </c>
      <c r="T4" s="360" t="s">
        <v>241</v>
      </c>
      <c r="U4" s="595" t="s">
        <v>58</v>
      </c>
    </row>
    <row r="5" spans="1:21" s="421" customFormat="1" ht="15" customHeight="1">
      <c r="A5" s="791"/>
      <c r="B5" s="791"/>
      <c r="C5" s="790"/>
      <c r="D5" s="7">
        <v>1</v>
      </c>
      <c r="E5" s="429">
        <v>1</v>
      </c>
      <c r="F5" s="429"/>
      <c r="G5" s="409"/>
      <c r="H5" s="409">
        <v>1</v>
      </c>
      <c r="I5" s="409" t="s">
        <v>212</v>
      </c>
      <c r="J5" s="409" t="s">
        <v>326</v>
      </c>
      <c r="K5" s="429">
        <v>2005</v>
      </c>
      <c r="L5" s="22" t="s">
        <v>53</v>
      </c>
      <c r="M5" s="382">
        <v>132.5</v>
      </c>
      <c r="N5" s="368">
        <v>20.384</v>
      </c>
      <c r="O5" s="368">
        <f>M5*N5</f>
        <v>2700.88</v>
      </c>
      <c r="P5" s="145">
        <f>185*0.31*1.04+(175+127)*0.36*1.04+257*0.38*1.04</f>
        <v>274.2792</v>
      </c>
      <c r="Q5" s="145">
        <f>(14.99+34.99+32.9)*1.04-0.02+46.69*1.04</f>
        <v>134.7328</v>
      </c>
      <c r="R5" s="382">
        <v>0</v>
      </c>
      <c r="S5" s="368">
        <f>22.85*1.04</f>
        <v>23.764000000000003</v>
      </c>
      <c r="T5" s="368">
        <f>R5*S5</f>
        <v>0</v>
      </c>
      <c r="U5" s="368">
        <f>O5+T5+P5+Q5</f>
        <v>3109.892</v>
      </c>
    </row>
    <row r="6" spans="1:21" s="278" customFormat="1" ht="15" customHeight="1">
      <c r="A6" s="791"/>
      <c r="B6" s="791"/>
      <c r="C6" s="833"/>
      <c r="D6" s="7">
        <v>1</v>
      </c>
      <c r="E6" s="380">
        <v>1</v>
      </c>
      <c r="F6" s="380"/>
      <c r="G6" s="380"/>
      <c r="H6" s="380">
        <v>1</v>
      </c>
      <c r="I6" s="469" t="s">
        <v>212</v>
      </c>
      <c r="J6" s="469" t="s">
        <v>31</v>
      </c>
      <c r="K6" s="380">
        <v>2001</v>
      </c>
      <c r="L6" s="22" t="s">
        <v>53</v>
      </c>
      <c r="M6" s="181">
        <f>28+29+25+22+29+26</f>
        <v>159</v>
      </c>
      <c r="N6" s="368">
        <v>20.384</v>
      </c>
      <c r="O6" s="368">
        <f>M6*N6</f>
        <v>3241.056</v>
      </c>
      <c r="P6" s="145">
        <f>(72+80)*0.35*1.04+80*0.37*1.04+80*0.38*1.04+50*0.31*1.04</f>
        <v>133.84799999999998</v>
      </c>
      <c r="Q6" s="145">
        <f>(47.75+41.33+40.05+41.29+26.6+2.9)*1.04-0.03</f>
        <v>207.8868</v>
      </c>
      <c r="R6" s="382">
        <v>0</v>
      </c>
      <c r="S6" s="368">
        <f>22.85*1.04</f>
        <v>23.764000000000003</v>
      </c>
      <c r="T6" s="368">
        <f>R6*S6</f>
        <v>0</v>
      </c>
      <c r="U6" s="368">
        <f>O6+T6+P6+Q6</f>
        <v>3582.7907999999998</v>
      </c>
    </row>
    <row r="7" spans="1:21" s="206" customFormat="1" ht="15" customHeight="1">
      <c r="A7" s="1030" t="s">
        <v>75</v>
      </c>
      <c r="B7" s="1030"/>
      <c r="C7" s="104"/>
      <c r="D7" s="104">
        <v>2</v>
      </c>
      <c r="E7" s="104">
        <f>SUM(E5:E6)</f>
        <v>2</v>
      </c>
      <c r="F7" s="104">
        <f>SUM(F5:F6)</f>
        <v>0</v>
      </c>
      <c r="G7" s="104">
        <f>SUM(G5:G6)</f>
        <v>0</v>
      </c>
      <c r="H7" s="104">
        <f>SUM(H5:H6)</f>
        <v>2</v>
      </c>
      <c r="I7" s="104"/>
      <c r="J7" s="104"/>
      <c r="K7" s="104"/>
      <c r="L7" s="596"/>
      <c r="M7" s="203">
        <f>SUM(M5:M6)</f>
        <v>291.5</v>
      </c>
      <c r="N7" s="204"/>
      <c r="O7" s="204">
        <f>SUM(O5:O6)</f>
        <v>5941.936</v>
      </c>
      <c r="P7" s="204">
        <f>SUM(P5:P6)</f>
        <v>408.1272</v>
      </c>
      <c r="Q7" s="204">
        <f>SUM(Q5:Q6)</f>
        <v>342.6196</v>
      </c>
      <c r="R7" s="203">
        <f>SUM(R5:R6)</f>
        <v>0</v>
      </c>
      <c r="S7" s="204"/>
      <c r="T7" s="204">
        <f>SUM(T5:T6)</f>
        <v>0</v>
      </c>
      <c r="U7" s="204">
        <f>SUM(U5:U6)</f>
        <v>6692.6828</v>
      </c>
    </row>
    <row r="8" spans="1:21" s="4" customFormat="1" ht="15" customHeight="1">
      <c r="A8" s="1027" t="s">
        <v>64</v>
      </c>
      <c r="B8" s="1027"/>
      <c r="C8" s="87"/>
      <c r="D8" s="87"/>
      <c r="E8" s="300"/>
      <c r="F8" s="87"/>
      <c r="G8" s="87"/>
      <c r="H8" s="87"/>
      <c r="I8" s="87"/>
      <c r="J8" s="87"/>
      <c r="K8" s="87"/>
      <c r="L8" s="597"/>
      <c r="M8" s="199"/>
      <c r="N8" s="196"/>
      <c r="O8" s="196"/>
      <c r="P8" s="196"/>
      <c r="Q8" s="196"/>
      <c r="R8" s="196"/>
      <c r="S8" s="196"/>
      <c r="T8" s="196"/>
      <c r="U8" s="211"/>
    </row>
    <row r="9" spans="1:21" s="50" customFormat="1" ht="57.75" customHeight="1">
      <c r="A9" s="39" t="s">
        <v>332</v>
      </c>
      <c r="B9" s="39" t="s">
        <v>333</v>
      </c>
      <c r="C9" s="39" t="s">
        <v>213</v>
      </c>
      <c r="D9" s="115" t="s">
        <v>36</v>
      </c>
      <c r="E9" s="115" t="s">
        <v>73</v>
      </c>
      <c r="F9" s="115" t="s">
        <v>74</v>
      </c>
      <c r="G9" s="115" t="s">
        <v>37</v>
      </c>
      <c r="H9" s="115" t="s">
        <v>38</v>
      </c>
      <c r="I9" s="115" t="s">
        <v>15</v>
      </c>
      <c r="J9" s="115" t="s">
        <v>214</v>
      </c>
      <c r="K9" s="115" t="s">
        <v>39</v>
      </c>
      <c r="L9" s="115" t="s">
        <v>84</v>
      </c>
      <c r="M9" s="360" t="s">
        <v>259</v>
      </c>
      <c r="N9" s="594" t="s">
        <v>40</v>
      </c>
      <c r="O9" s="360" t="s">
        <v>238</v>
      </c>
      <c r="P9" s="360" t="s">
        <v>239</v>
      </c>
      <c r="Q9" s="360" t="s">
        <v>242</v>
      </c>
      <c r="R9" s="360" t="s">
        <v>240</v>
      </c>
      <c r="S9" s="594" t="s">
        <v>40</v>
      </c>
      <c r="T9" s="360" t="s">
        <v>241</v>
      </c>
      <c r="U9" s="595" t="s">
        <v>58</v>
      </c>
    </row>
    <row r="10" spans="1:21" s="367" customFormat="1" ht="15.75" customHeight="1">
      <c r="A10" s="791"/>
      <c r="B10" s="791"/>
      <c r="C10" s="790"/>
      <c r="D10" s="14">
        <v>1</v>
      </c>
      <c r="E10" s="22"/>
      <c r="F10" s="22">
        <v>1</v>
      </c>
      <c r="G10" s="22">
        <v>1</v>
      </c>
      <c r="H10" s="77"/>
      <c r="I10" s="22" t="s">
        <v>212</v>
      </c>
      <c r="J10" s="22" t="s">
        <v>212</v>
      </c>
      <c r="K10" s="22">
        <v>2000</v>
      </c>
      <c r="L10" s="1102" t="s">
        <v>53</v>
      </c>
      <c r="M10" s="1103">
        <v>31</v>
      </c>
      <c r="N10" s="1099">
        <v>20.384</v>
      </c>
      <c r="O10" s="1099">
        <v>631.9</v>
      </c>
      <c r="P10" s="1099">
        <v>48.05</v>
      </c>
      <c r="Q10" s="1099">
        <v>41.13</v>
      </c>
      <c r="R10" s="1108">
        <v>0</v>
      </c>
      <c r="S10" s="1104">
        <f>22.85*1.04</f>
        <v>23.764000000000003</v>
      </c>
      <c r="T10" s="1104">
        <f>R10*S10</f>
        <v>0</v>
      </c>
      <c r="U10" s="1104">
        <f>O10+T10+P10+Q10</f>
        <v>721.0799999999999</v>
      </c>
    </row>
    <row r="11" spans="1:21" s="111" customFormat="1" ht="15" customHeight="1">
      <c r="A11" s="791"/>
      <c r="B11" s="791"/>
      <c r="C11" s="790"/>
      <c r="D11" s="7">
        <v>1</v>
      </c>
      <c r="E11" s="22">
        <v>1</v>
      </c>
      <c r="F11" s="22"/>
      <c r="G11" s="22">
        <v>1</v>
      </c>
      <c r="H11" s="77"/>
      <c r="I11" s="22" t="s">
        <v>212</v>
      </c>
      <c r="J11" s="22" t="s">
        <v>212</v>
      </c>
      <c r="K11" s="22">
        <v>2001</v>
      </c>
      <c r="L11" s="1102"/>
      <c r="M11" s="1103"/>
      <c r="N11" s="1107"/>
      <c r="O11" s="1099"/>
      <c r="P11" s="1099"/>
      <c r="Q11" s="1099"/>
      <c r="R11" s="1108"/>
      <c r="S11" s="1104"/>
      <c r="T11" s="1104"/>
      <c r="U11" s="1104"/>
    </row>
    <row r="12" spans="1:21" s="111" customFormat="1" ht="15" customHeight="1">
      <c r="A12" s="791"/>
      <c r="B12" s="791"/>
      <c r="C12" s="790"/>
      <c r="D12" s="7">
        <v>1</v>
      </c>
      <c r="E12" s="22">
        <v>1</v>
      </c>
      <c r="F12" s="22"/>
      <c r="G12" s="22">
        <v>1</v>
      </c>
      <c r="H12" s="22"/>
      <c r="I12" s="22" t="s">
        <v>212</v>
      </c>
      <c r="J12" s="22" t="s">
        <v>212</v>
      </c>
      <c r="K12" s="22">
        <v>2010</v>
      </c>
      <c r="L12" s="1102" t="s">
        <v>53</v>
      </c>
      <c r="M12" s="1101">
        <v>1</v>
      </c>
      <c r="N12" s="1099">
        <v>20.384</v>
      </c>
      <c r="O12" s="1046">
        <f>M12*N12</f>
        <v>20.384</v>
      </c>
      <c r="P12" s="1046">
        <v>0</v>
      </c>
      <c r="Q12" s="1046">
        <v>0</v>
      </c>
      <c r="R12" s="1108">
        <v>40.5</v>
      </c>
      <c r="S12" s="1104">
        <f>22.85*1.04</f>
        <v>23.764000000000003</v>
      </c>
      <c r="T12" s="1104">
        <f>R12*S12</f>
        <v>962.4420000000001</v>
      </c>
      <c r="U12" s="1104">
        <f>O12+T12+P12+Q12</f>
        <v>982.8260000000001</v>
      </c>
    </row>
    <row r="13" spans="1:21" s="111" customFormat="1" ht="15" customHeight="1">
      <c r="A13" s="791"/>
      <c r="B13" s="791"/>
      <c r="C13" s="790"/>
      <c r="D13" s="7">
        <v>1</v>
      </c>
      <c r="E13" s="22"/>
      <c r="F13" s="22">
        <v>1</v>
      </c>
      <c r="G13" s="22">
        <v>1</v>
      </c>
      <c r="H13" s="22"/>
      <c r="I13" s="22" t="s">
        <v>212</v>
      </c>
      <c r="J13" s="22" t="s">
        <v>212</v>
      </c>
      <c r="K13" s="22">
        <v>1976</v>
      </c>
      <c r="L13" s="1102"/>
      <c r="M13" s="1101"/>
      <c r="N13" s="1107"/>
      <c r="O13" s="1046"/>
      <c r="P13" s="1046"/>
      <c r="Q13" s="1046"/>
      <c r="R13" s="1108"/>
      <c r="S13" s="1104"/>
      <c r="T13" s="1104"/>
      <c r="U13" s="1104"/>
    </row>
    <row r="14" spans="1:21" s="111" customFormat="1" ht="15" customHeight="1">
      <c r="A14" s="791"/>
      <c r="B14" s="791"/>
      <c r="C14" s="790"/>
      <c r="D14" s="7">
        <v>1</v>
      </c>
      <c r="E14" s="22"/>
      <c r="F14" s="22">
        <v>1</v>
      </c>
      <c r="G14" s="22">
        <v>1</v>
      </c>
      <c r="H14" s="22"/>
      <c r="I14" s="22" t="s">
        <v>212</v>
      </c>
      <c r="J14" s="22" t="s">
        <v>212</v>
      </c>
      <c r="K14" s="22">
        <v>2001</v>
      </c>
      <c r="L14" s="22" t="s">
        <v>53</v>
      </c>
      <c r="M14" s="181">
        <v>89.5</v>
      </c>
      <c r="N14" s="195">
        <v>20.384</v>
      </c>
      <c r="O14" s="195">
        <f aca="true" t="shared" si="0" ref="O14:O22">M14*N14</f>
        <v>1824.368</v>
      </c>
      <c r="P14" s="145">
        <f>70*0.37*1.04+55*0.38*1.04+65*0.31*1.04+390*0.36*1.04</f>
        <v>215.644</v>
      </c>
      <c r="Q14" s="145">
        <v>248.96</v>
      </c>
      <c r="R14" s="198">
        <v>39</v>
      </c>
      <c r="S14" s="368">
        <v>23.76</v>
      </c>
      <c r="T14" s="368">
        <f aca="true" t="shared" si="1" ref="T14:T21">R14*S14</f>
        <v>926.6400000000001</v>
      </c>
      <c r="U14" s="368">
        <f>O14+P14+Q14+T14</f>
        <v>3215.612</v>
      </c>
    </row>
    <row r="15" spans="1:21" ht="15" customHeight="1">
      <c r="A15" s="791"/>
      <c r="B15" s="791"/>
      <c r="C15" s="790"/>
      <c r="D15" s="1">
        <v>1</v>
      </c>
      <c r="E15" s="22">
        <v>1</v>
      </c>
      <c r="F15" s="22"/>
      <c r="G15" s="1">
        <v>1</v>
      </c>
      <c r="H15" s="22"/>
      <c r="I15" s="22" t="s">
        <v>212</v>
      </c>
      <c r="J15" s="22" t="s">
        <v>212</v>
      </c>
      <c r="K15" s="22">
        <v>1996</v>
      </c>
      <c r="L15" s="22" t="s">
        <v>53</v>
      </c>
      <c r="M15" s="181">
        <v>167</v>
      </c>
      <c r="N15" s="195">
        <v>20.384</v>
      </c>
      <c r="O15" s="195">
        <f t="shared" si="0"/>
        <v>3404.128</v>
      </c>
      <c r="P15" s="145">
        <f>195*0.35*1.04+45*0.37*1.04+80*0.38*1.04+150*0.31*1.04+100*0.36*1.04</f>
        <v>205.712</v>
      </c>
      <c r="Q15" s="145">
        <v>228.78</v>
      </c>
      <c r="R15" s="181">
        <v>54.5</v>
      </c>
      <c r="S15" s="368">
        <v>23.76</v>
      </c>
      <c r="T15" s="195">
        <f t="shared" si="1"/>
        <v>1294.92</v>
      </c>
      <c r="U15" s="368">
        <f>O15+P15+Q15+T15</f>
        <v>5133.540000000001</v>
      </c>
    </row>
    <row r="16" spans="1:21" ht="15" customHeight="1">
      <c r="A16" s="791"/>
      <c r="B16" s="791"/>
      <c r="C16" s="790"/>
      <c r="D16" s="1">
        <v>1</v>
      </c>
      <c r="E16" s="22"/>
      <c r="F16" s="22">
        <v>1</v>
      </c>
      <c r="G16" s="22">
        <v>1</v>
      </c>
      <c r="H16" s="22"/>
      <c r="I16" s="22" t="s">
        <v>212</v>
      </c>
      <c r="J16" s="22" t="s">
        <v>212</v>
      </c>
      <c r="K16" s="22">
        <v>1997</v>
      </c>
      <c r="L16" s="22" t="s">
        <v>52</v>
      </c>
      <c r="M16" s="181">
        <f>80.5</f>
        <v>80.5</v>
      </c>
      <c r="N16" s="195">
        <v>20.384</v>
      </c>
      <c r="O16" s="195">
        <f t="shared" si="0"/>
        <v>1640.912</v>
      </c>
      <c r="P16" s="145">
        <v>0</v>
      </c>
      <c r="Q16" s="145">
        <f>(40.56+14.35)*1.04</f>
        <v>57.10640000000001</v>
      </c>
      <c r="R16" s="200">
        <v>0</v>
      </c>
      <c r="S16" s="368">
        <v>23.76</v>
      </c>
      <c r="T16" s="195">
        <f t="shared" si="1"/>
        <v>0</v>
      </c>
      <c r="U16" s="368">
        <f>O16+P16+Q16+T16</f>
        <v>1698.0184</v>
      </c>
    </row>
    <row r="17" spans="1:21" ht="15" customHeight="1">
      <c r="A17" s="791"/>
      <c r="B17" s="791"/>
      <c r="C17" s="790"/>
      <c r="D17" s="1">
        <v>1</v>
      </c>
      <c r="E17" s="22"/>
      <c r="F17" s="22">
        <v>1</v>
      </c>
      <c r="G17" s="22">
        <v>1</v>
      </c>
      <c r="H17" s="22"/>
      <c r="I17" s="22" t="s">
        <v>212</v>
      </c>
      <c r="J17" s="22" t="s">
        <v>212</v>
      </c>
      <c r="K17" s="22">
        <v>2006</v>
      </c>
      <c r="L17" s="1102" t="s">
        <v>53</v>
      </c>
      <c r="M17" s="1103">
        <v>17.5</v>
      </c>
      <c r="N17" s="1099">
        <v>20.384</v>
      </c>
      <c r="O17" s="1099">
        <v>356.72</v>
      </c>
      <c r="P17" s="1099">
        <v>0</v>
      </c>
      <c r="Q17" s="1099">
        <v>0</v>
      </c>
      <c r="R17" s="1108">
        <v>0</v>
      </c>
      <c r="S17" s="1104">
        <f>22.85*1.04</f>
        <v>23.764000000000003</v>
      </c>
      <c r="T17" s="1104">
        <f>R17*S17</f>
        <v>0</v>
      </c>
      <c r="U17" s="1104">
        <f>O17+T17+P17+Q17</f>
        <v>356.72</v>
      </c>
    </row>
    <row r="18" spans="1:21" ht="15" customHeight="1">
      <c r="A18" s="791"/>
      <c r="B18" s="791"/>
      <c r="C18" s="790"/>
      <c r="D18" s="1">
        <v>1</v>
      </c>
      <c r="E18" s="22">
        <v>1</v>
      </c>
      <c r="F18" s="22"/>
      <c r="G18" s="22">
        <v>1</v>
      </c>
      <c r="H18" s="22"/>
      <c r="I18" s="22" t="s">
        <v>212</v>
      </c>
      <c r="J18" s="22" t="s">
        <v>212</v>
      </c>
      <c r="K18" s="22">
        <v>2008</v>
      </c>
      <c r="L18" s="1102"/>
      <c r="M18" s="1103"/>
      <c r="N18" s="1099"/>
      <c r="O18" s="1099"/>
      <c r="P18" s="1099"/>
      <c r="Q18" s="1099"/>
      <c r="R18" s="1108"/>
      <c r="S18" s="1104"/>
      <c r="T18" s="1104"/>
      <c r="U18" s="1104"/>
    </row>
    <row r="19" spans="1:21" ht="15" customHeight="1">
      <c r="A19" s="791"/>
      <c r="B19" s="791"/>
      <c r="C19" s="790"/>
      <c r="D19" s="1">
        <v>1</v>
      </c>
      <c r="E19" s="22"/>
      <c r="F19" s="22">
        <v>1</v>
      </c>
      <c r="G19" s="22">
        <v>1</v>
      </c>
      <c r="H19" s="22"/>
      <c r="I19" s="22" t="s">
        <v>212</v>
      </c>
      <c r="J19" s="15" t="s">
        <v>212</v>
      </c>
      <c r="K19" s="22">
        <v>2006</v>
      </c>
      <c r="L19" s="22" t="s">
        <v>53</v>
      </c>
      <c r="M19" s="181">
        <v>94</v>
      </c>
      <c r="N19" s="195">
        <v>20.384</v>
      </c>
      <c r="O19" s="195">
        <f>M19*N19</f>
        <v>1916.096</v>
      </c>
      <c r="P19" s="145">
        <v>0</v>
      </c>
      <c r="Q19" s="145">
        <v>0</v>
      </c>
      <c r="R19" s="181">
        <v>0</v>
      </c>
      <c r="S19" s="368">
        <v>23.76</v>
      </c>
      <c r="T19" s="195">
        <f t="shared" si="1"/>
        <v>0</v>
      </c>
      <c r="U19" s="368">
        <f>O19+P19+Q19+T19</f>
        <v>1916.096</v>
      </c>
    </row>
    <row r="20" spans="1:21" ht="15" customHeight="1">
      <c r="A20" s="791"/>
      <c r="B20" s="791"/>
      <c r="C20" s="790"/>
      <c r="D20" s="1">
        <v>1</v>
      </c>
      <c r="E20" s="22">
        <v>1</v>
      </c>
      <c r="F20" s="22"/>
      <c r="G20" s="22"/>
      <c r="H20" s="22">
        <v>1</v>
      </c>
      <c r="I20" s="22" t="s">
        <v>327</v>
      </c>
      <c r="J20" s="22" t="s">
        <v>327</v>
      </c>
      <c r="K20" s="22">
        <v>1997</v>
      </c>
      <c r="L20" s="22" t="s">
        <v>53</v>
      </c>
      <c r="M20" s="181">
        <v>91</v>
      </c>
      <c r="N20" s="195">
        <v>20.384</v>
      </c>
      <c r="O20" s="195">
        <f t="shared" si="0"/>
        <v>1854.944</v>
      </c>
      <c r="P20" s="145">
        <f>(105*0.35*1.04+15*0.37*1.04+30*0.38*1.04+50*0.31*1.04+110*0.36*1.04)</f>
        <v>113.15200000000002</v>
      </c>
      <c r="Q20" s="145">
        <v>150.46</v>
      </c>
      <c r="R20" s="200">
        <v>0</v>
      </c>
      <c r="S20" s="368">
        <v>23.76</v>
      </c>
      <c r="T20" s="195">
        <f t="shared" si="1"/>
        <v>0</v>
      </c>
      <c r="U20" s="368">
        <f>O20+P20+Q20+T20</f>
        <v>2118.556</v>
      </c>
    </row>
    <row r="21" spans="1:21" ht="15" customHeight="1">
      <c r="A21" s="791"/>
      <c r="B21" s="791"/>
      <c r="C21" s="790"/>
      <c r="D21" s="1">
        <v>1</v>
      </c>
      <c r="E21" s="22"/>
      <c r="F21" s="22">
        <v>1</v>
      </c>
      <c r="G21" s="22">
        <v>1</v>
      </c>
      <c r="H21" s="22"/>
      <c r="I21" s="22" t="s">
        <v>212</v>
      </c>
      <c r="J21" s="622" t="s">
        <v>368</v>
      </c>
      <c r="K21" s="22">
        <v>1997</v>
      </c>
      <c r="L21" s="22" t="s">
        <v>53</v>
      </c>
      <c r="M21" s="181">
        <v>204</v>
      </c>
      <c r="N21" s="195">
        <v>20.384</v>
      </c>
      <c r="O21" s="195">
        <f t="shared" si="0"/>
        <v>4158.336</v>
      </c>
      <c r="P21" s="145">
        <f>120*0.35*1.04+40*0.37*1.04+85*0.38*1.04+65*0.31*1.04+235*0.36*1.04</f>
        <v>201.60399999999998</v>
      </c>
      <c r="Q21" s="145">
        <v>295.67</v>
      </c>
      <c r="R21" s="200">
        <v>0</v>
      </c>
      <c r="S21" s="368">
        <v>23.76</v>
      </c>
      <c r="T21" s="195">
        <f t="shared" si="1"/>
        <v>0</v>
      </c>
      <c r="U21" s="368">
        <f>O21+P21+Q21+T21</f>
        <v>4655.610000000001</v>
      </c>
    </row>
    <row r="22" spans="1:21" ht="15" customHeight="1">
      <c r="A22" s="791"/>
      <c r="B22" s="791"/>
      <c r="C22" s="790"/>
      <c r="D22" s="1">
        <v>1</v>
      </c>
      <c r="E22" s="22"/>
      <c r="F22" s="22">
        <v>1</v>
      </c>
      <c r="G22" s="22">
        <v>1</v>
      </c>
      <c r="H22" s="22"/>
      <c r="I22" s="22" t="s">
        <v>212</v>
      </c>
      <c r="J22" s="15" t="s">
        <v>212</v>
      </c>
      <c r="K22" s="22">
        <v>1999</v>
      </c>
      <c r="L22" s="1102" t="s">
        <v>53</v>
      </c>
      <c r="M22" s="1103">
        <v>207.5</v>
      </c>
      <c r="N22" s="1099">
        <v>20.384</v>
      </c>
      <c r="O22" s="1099">
        <f t="shared" si="0"/>
        <v>4229.68</v>
      </c>
      <c r="P22" s="1099">
        <v>181.8856</v>
      </c>
      <c r="Q22" s="1099">
        <v>286.23</v>
      </c>
      <c r="R22" s="1103">
        <v>0</v>
      </c>
      <c r="S22" s="1104">
        <v>23.76</v>
      </c>
      <c r="T22" s="1099">
        <v>0</v>
      </c>
      <c r="U22" s="1104">
        <f>T22+Q22+P22+O22</f>
        <v>4697.7956</v>
      </c>
    </row>
    <row r="23" spans="1:21" ht="15" customHeight="1">
      <c r="A23" s="791"/>
      <c r="B23" s="791"/>
      <c r="C23" s="790"/>
      <c r="D23" s="1">
        <v>1</v>
      </c>
      <c r="E23" s="22">
        <v>1</v>
      </c>
      <c r="F23" s="22"/>
      <c r="G23" s="22">
        <v>1</v>
      </c>
      <c r="H23" s="22"/>
      <c r="I23" s="22" t="s">
        <v>212</v>
      </c>
      <c r="J23" s="15" t="s">
        <v>212</v>
      </c>
      <c r="K23" s="22">
        <v>2001</v>
      </c>
      <c r="L23" s="1102"/>
      <c r="M23" s="1103"/>
      <c r="N23" s="1099"/>
      <c r="O23" s="1099"/>
      <c r="P23" s="1099"/>
      <c r="Q23" s="1099"/>
      <c r="R23" s="1103"/>
      <c r="S23" s="1104"/>
      <c r="T23" s="1099"/>
      <c r="U23" s="1104"/>
    </row>
    <row r="24" spans="1:21" ht="15" customHeight="1">
      <c r="A24" s="791"/>
      <c r="B24" s="791"/>
      <c r="C24" s="790"/>
      <c r="D24" s="1">
        <v>1</v>
      </c>
      <c r="E24" s="22">
        <v>1</v>
      </c>
      <c r="F24" s="22"/>
      <c r="G24" s="22">
        <v>1</v>
      </c>
      <c r="H24" s="22"/>
      <c r="I24" s="22" t="s">
        <v>212</v>
      </c>
      <c r="J24" s="15" t="s">
        <v>212</v>
      </c>
      <c r="K24" s="22">
        <v>1996</v>
      </c>
      <c r="L24" s="1102"/>
      <c r="M24" s="1103"/>
      <c r="N24" s="1099"/>
      <c r="O24" s="1099"/>
      <c r="P24" s="1099"/>
      <c r="Q24" s="1099"/>
      <c r="R24" s="1103"/>
      <c r="S24" s="1104"/>
      <c r="T24" s="1099"/>
      <c r="U24" s="1104"/>
    </row>
    <row r="25" spans="1:21" s="278" customFormat="1" ht="15" customHeight="1">
      <c r="A25" s="791"/>
      <c r="B25" s="791"/>
      <c r="C25" s="790"/>
      <c r="D25" s="1">
        <v>1</v>
      </c>
      <c r="E25" s="22">
        <v>1</v>
      </c>
      <c r="F25" s="22"/>
      <c r="G25" s="22">
        <v>1</v>
      </c>
      <c r="H25" s="22"/>
      <c r="I25" s="22" t="s">
        <v>212</v>
      </c>
      <c r="J25" s="15" t="s">
        <v>212</v>
      </c>
      <c r="K25" s="22">
        <v>1995</v>
      </c>
      <c r="L25" s="1106" t="s">
        <v>52</v>
      </c>
      <c r="M25" s="1103">
        <v>91.5</v>
      </c>
      <c r="N25" s="1099">
        <v>20.384</v>
      </c>
      <c r="O25" s="1099">
        <v>1865.136</v>
      </c>
      <c r="P25" s="1046">
        <f>144.98</f>
        <v>144.98</v>
      </c>
      <c r="Q25" s="1046">
        <f>96.93</f>
        <v>96.93</v>
      </c>
      <c r="R25" s="1103">
        <v>0</v>
      </c>
      <c r="S25" s="1104">
        <v>23.76</v>
      </c>
      <c r="T25" s="1099">
        <v>0</v>
      </c>
      <c r="U25" s="1104">
        <f>T25+Q25+P25+O25</f>
        <v>2107.046</v>
      </c>
    </row>
    <row r="26" spans="1:21" s="278" customFormat="1" ht="15" customHeight="1">
      <c r="A26" s="794"/>
      <c r="B26" s="795"/>
      <c r="C26" s="790"/>
      <c r="D26" s="1">
        <v>1</v>
      </c>
      <c r="E26" s="22">
        <v>1</v>
      </c>
      <c r="F26" s="22"/>
      <c r="G26" s="22">
        <v>1</v>
      </c>
      <c r="H26" s="22"/>
      <c r="I26" s="22" t="s">
        <v>212</v>
      </c>
      <c r="J26" s="15" t="s">
        <v>212</v>
      </c>
      <c r="K26" s="22">
        <v>1996</v>
      </c>
      <c r="L26" s="1106"/>
      <c r="M26" s="1103"/>
      <c r="N26" s="1099"/>
      <c r="O26" s="1099"/>
      <c r="P26" s="1046"/>
      <c r="Q26" s="1046"/>
      <c r="R26" s="1103"/>
      <c r="S26" s="1104"/>
      <c r="T26" s="1099"/>
      <c r="U26" s="1104"/>
    </row>
    <row r="27" spans="1:21" ht="15" customHeight="1">
      <c r="A27" s="791"/>
      <c r="B27" s="791"/>
      <c r="C27" s="790"/>
      <c r="D27" s="1">
        <v>1</v>
      </c>
      <c r="E27" s="22"/>
      <c r="F27" s="22">
        <v>1</v>
      </c>
      <c r="G27" s="22"/>
      <c r="H27" s="22">
        <v>1</v>
      </c>
      <c r="I27" s="22" t="s">
        <v>343</v>
      </c>
      <c r="J27" s="15" t="s">
        <v>343</v>
      </c>
      <c r="K27" s="22">
        <v>1995</v>
      </c>
      <c r="L27" s="22" t="s">
        <v>53</v>
      </c>
      <c r="M27" s="200">
        <v>19.5</v>
      </c>
      <c r="N27" s="195">
        <v>20.384</v>
      </c>
      <c r="O27" s="338">
        <f>M27*N27</f>
        <v>397.488</v>
      </c>
      <c r="P27" s="145">
        <v>0</v>
      </c>
      <c r="Q27" s="145">
        <v>0</v>
      </c>
      <c r="R27" s="200">
        <v>50</v>
      </c>
      <c r="S27" s="383">
        <v>23.76</v>
      </c>
      <c r="T27" s="195">
        <f>R27*S27</f>
        <v>1188</v>
      </c>
      <c r="U27" s="368">
        <f>T27+Q27+P27+O27</f>
        <v>1585.488</v>
      </c>
    </row>
    <row r="28" spans="1:21" ht="15" customHeight="1">
      <c r="A28" s="791"/>
      <c r="B28" s="791"/>
      <c r="C28" s="790"/>
      <c r="D28" s="1">
        <v>1</v>
      </c>
      <c r="E28" s="279">
        <v>1</v>
      </c>
      <c r="F28" s="279"/>
      <c r="G28" s="279"/>
      <c r="H28" s="279">
        <v>1</v>
      </c>
      <c r="I28" s="22" t="s">
        <v>343</v>
      </c>
      <c r="J28" s="15" t="s">
        <v>343</v>
      </c>
      <c r="K28" s="22">
        <v>1998</v>
      </c>
      <c r="L28" s="22" t="s">
        <v>53</v>
      </c>
      <c r="M28" s="181">
        <v>182.5</v>
      </c>
      <c r="N28" s="145">
        <v>20.384</v>
      </c>
      <c r="O28" s="338">
        <f>M28*N28</f>
        <v>3720.08</v>
      </c>
      <c r="P28" s="145">
        <f>10*0.35*1.04+20*0.38*1.04+29*0.31*1.04+147*0.36*1.04</f>
        <v>75.93039999999999</v>
      </c>
      <c r="Q28" s="145">
        <v>130.23</v>
      </c>
      <c r="R28" s="200">
        <v>0</v>
      </c>
      <c r="S28" s="368">
        <v>23.76</v>
      </c>
      <c r="T28" s="195">
        <v>0</v>
      </c>
      <c r="U28" s="368">
        <f>T28+Q28+P28+O28</f>
        <v>3926.2403999999997</v>
      </c>
    </row>
    <row r="29" spans="1:21" s="80" customFormat="1" ht="15" customHeight="1">
      <c r="A29" s="769" t="s">
        <v>51</v>
      </c>
      <c r="B29" s="36"/>
      <c r="C29" s="22"/>
      <c r="D29" s="22"/>
      <c r="E29" s="181"/>
      <c r="F29" s="172"/>
      <c r="G29" s="145"/>
      <c r="H29" s="145"/>
      <c r="I29" s="145"/>
      <c r="J29" s="145"/>
      <c r="K29" s="381"/>
      <c r="L29" s="76"/>
      <c r="M29" s="359"/>
      <c r="N29" s="359"/>
      <c r="O29" s="359"/>
      <c r="P29" s="359"/>
      <c r="Q29" s="359"/>
      <c r="R29" s="359"/>
      <c r="S29" s="359"/>
      <c r="T29" s="359"/>
      <c r="U29" s="145">
        <f>1611.99*4-4372</f>
        <v>2075.96</v>
      </c>
    </row>
    <row r="30" spans="1:21" s="213" customFormat="1" ht="15" customHeight="1">
      <c r="A30" s="1030" t="s">
        <v>8</v>
      </c>
      <c r="B30" s="1030"/>
      <c r="C30" s="205"/>
      <c r="D30" s="205">
        <v>19</v>
      </c>
      <c r="E30" s="205">
        <f>SUM(E10:E28)</f>
        <v>10</v>
      </c>
      <c r="F30" s="205">
        <f>SUM(F10:F28)</f>
        <v>9</v>
      </c>
      <c r="G30" s="205">
        <f>SUM(G10:G28)</f>
        <v>16</v>
      </c>
      <c r="H30" s="205">
        <f>SUM(H10:H28)</f>
        <v>3</v>
      </c>
      <c r="I30" s="205"/>
      <c r="J30" s="205"/>
      <c r="K30" s="205"/>
      <c r="L30" s="596"/>
      <c r="M30" s="203">
        <f>SUM(M10:M28)</f>
        <v>1276.5</v>
      </c>
      <c r="N30" s="204"/>
      <c r="O30" s="204">
        <f>SUM(O10:O28)</f>
        <v>26020.172</v>
      </c>
      <c r="P30" s="204">
        <f>SUM(P10:P28)</f>
        <v>1186.958</v>
      </c>
      <c r="Q30" s="204">
        <f>SUM(Q10:Q28)</f>
        <v>1535.4964000000002</v>
      </c>
      <c r="R30" s="203">
        <f>SUM(R10:R28)</f>
        <v>184</v>
      </c>
      <c r="S30" s="204"/>
      <c r="T30" s="204">
        <f>SUM(T10:T28)</f>
        <v>4372.002</v>
      </c>
      <c r="U30" s="204">
        <f>SUM(U10:U29)</f>
        <v>35190.5884</v>
      </c>
    </row>
    <row r="31" spans="1:21" s="4" customFormat="1" ht="15" customHeight="1">
      <c r="A31" s="1027" t="s">
        <v>67</v>
      </c>
      <c r="B31" s="1027"/>
      <c r="C31" s="87"/>
      <c r="D31" s="87"/>
      <c r="E31" s="300"/>
      <c r="F31" s="87"/>
      <c r="G31" s="87"/>
      <c r="H31" s="87"/>
      <c r="I31" s="87"/>
      <c r="J31" s="87"/>
      <c r="K31" s="87"/>
      <c r="L31" s="103"/>
      <c r="M31" s="199"/>
      <c r="N31" s="196"/>
      <c r="O31" s="196"/>
      <c r="P31" s="196"/>
      <c r="Q31" s="196"/>
      <c r="R31" s="196"/>
      <c r="S31" s="196"/>
      <c r="T31" s="196"/>
      <c r="U31" s="211"/>
    </row>
    <row r="32" spans="1:21" s="50" customFormat="1" ht="57" customHeight="1">
      <c r="A32" s="39" t="s">
        <v>332</v>
      </c>
      <c r="B32" s="39" t="s">
        <v>333</v>
      </c>
      <c r="C32" s="39" t="s">
        <v>213</v>
      </c>
      <c r="D32" s="115" t="s">
        <v>36</v>
      </c>
      <c r="E32" s="115" t="s">
        <v>73</v>
      </c>
      <c r="F32" s="115" t="s">
        <v>74</v>
      </c>
      <c r="G32" s="115" t="s">
        <v>37</v>
      </c>
      <c r="H32" s="115" t="s">
        <v>38</v>
      </c>
      <c r="I32" s="115" t="s">
        <v>15</v>
      </c>
      <c r="J32" s="115" t="s">
        <v>214</v>
      </c>
      <c r="K32" s="115" t="s">
        <v>39</v>
      </c>
      <c r="L32" s="115" t="s">
        <v>84</v>
      </c>
      <c r="M32" s="360" t="s">
        <v>259</v>
      </c>
      <c r="N32" s="594" t="s">
        <v>40</v>
      </c>
      <c r="O32" s="360" t="s">
        <v>238</v>
      </c>
      <c r="P32" s="360" t="s">
        <v>239</v>
      </c>
      <c r="Q32" s="360" t="s">
        <v>242</v>
      </c>
      <c r="R32" s="360" t="s">
        <v>240</v>
      </c>
      <c r="S32" s="594" t="s">
        <v>40</v>
      </c>
      <c r="T32" s="360" t="s">
        <v>241</v>
      </c>
      <c r="U32" s="595" t="s">
        <v>58</v>
      </c>
    </row>
    <row r="33" spans="1:21" s="278" customFormat="1" ht="15" customHeight="1">
      <c r="A33" s="769" t="s">
        <v>51</v>
      </c>
      <c r="B33" s="279"/>
      <c r="C33" s="279"/>
      <c r="D33" s="279"/>
      <c r="E33" s="301"/>
      <c r="F33" s="279"/>
      <c r="G33" s="279"/>
      <c r="H33" s="279"/>
      <c r="I33" s="279"/>
      <c r="J33" s="279"/>
      <c r="K33" s="279"/>
      <c r="L33" s="305"/>
      <c r="M33" s="200"/>
      <c r="N33" s="195"/>
      <c r="O33" s="195"/>
      <c r="P33" s="195">
        <v>0</v>
      </c>
      <c r="Q33" s="195">
        <v>0</v>
      </c>
      <c r="R33" s="305">
        <v>0</v>
      </c>
      <c r="S33" s="325">
        <v>23.76</v>
      </c>
      <c r="T33" s="195">
        <v>0</v>
      </c>
      <c r="U33" s="195">
        <v>1851.6</v>
      </c>
    </row>
    <row r="34" spans="1:21" s="213" customFormat="1" ht="15" customHeight="1">
      <c r="A34" s="1030" t="s">
        <v>95</v>
      </c>
      <c r="B34" s="1030"/>
      <c r="C34" s="205"/>
      <c r="D34" s="205">
        <v>0</v>
      </c>
      <c r="E34" s="205">
        <v>0</v>
      </c>
      <c r="F34" s="205">
        <v>0</v>
      </c>
      <c r="G34" s="205">
        <v>0</v>
      </c>
      <c r="H34" s="205">
        <v>0</v>
      </c>
      <c r="I34" s="205"/>
      <c r="J34" s="205"/>
      <c r="K34" s="205"/>
      <c r="L34" s="500"/>
      <c r="M34" s="203">
        <v>0</v>
      </c>
      <c r="N34" s="204"/>
      <c r="O34" s="204">
        <v>0</v>
      </c>
      <c r="P34" s="204">
        <f>SUM(P33)</f>
        <v>0</v>
      </c>
      <c r="Q34" s="204">
        <f>SUM(Q33)</f>
        <v>0</v>
      </c>
      <c r="R34" s="312">
        <f>SUM(R33)</f>
        <v>0</v>
      </c>
      <c r="S34" s="204">
        <f>SUM(S33)</f>
        <v>23.76</v>
      </c>
      <c r="T34" s="204">
        <f>SUM(T33)</f>
        <v>0</v>
      </c>
      <c r="U34" s="204">
        <f>SUM(U33:U33)</f>
        <v>1851.6</v>
      </c>
    </row>
    <row r="35" spans="1:21" s="4" customFormat="1" ht="15" customHeight="1">
      <c r="A35" s="1027" t="s">
        <v>68</v>
      </c>
      <c r="B35" s="1027"/>
      <c r="C35" s="87"/>
      <c r="D35" s="87"/>
      <c r="E35" s="300"/>
      <c r="F35" s="87"/>
      <c r="G35" s="87"/>
      <c r="H35" s="87"/>
      <c r="I35" s="87"/>
      <c r="J35" s="87"/>
      <c r="K35" s="87"/>
      <c r="L35" s="103"/>
      <c r="M35" s="199"/>
      <c r="N35" s="196"/>
      <c r="O35" s="196"/>
      <c r="P35" s="196"/>
      <c r="Q35" s="196"/>
      <c r="R35" s="196"/>
      <c r="S35" s="196"/>
      <c r="T35" s="196"/>
      <c r="U35" s="211"/>
    </row>
    <row r="36" spans="1:21" s="50" customFormat="1" ht="57" customHeight="1">
      <c r="A36" s="39" t="s">
        <v>332</v>
      </c>
      <c r="B36" s="39" t="s">
        <v>333</v>
      </c>
      <c r="C36" s="39" t="s">
        <v>213</v>
      </c>
      <c r="D36" s="115" t="s">
        <v>36</v>
      </c>
      <c r="E36" s="115" t="s">
        <v>73</v>
      </c>
      <c r="F36" s="115" t="s">
        <v>74</v>
      </c>
      <c r="G36" s="115" t="s">
        <v>37</v>
      </c>
      <c r="H36" s="115" t="s">
        <v>38</v>
      </c>
      <c r="I36" s="115" t="s">
        <v>15</v>
      </c>
      <c r="J36" s="115" t="s">
        <v>214</v>
      </c>
      <c r="K36" s="115" t="s">
        <v>39</v>
      </c>
      <c r="L36" s="115" t="s">
        <v>84</v>
      </c>
      <c r="M36" s="360" t="s">
        <v>259</v>
      </c>
      <c r="N36" s="594" t="s">
        <v>40</v>
      </c>
      <c r="O36" s="360" t="s">
        <v>238</v>
      </c>
      <c r="P36" s="360" t="s">
        <v>239</v>
      </c>
      <c r="Q36" s="360" t="s">
        <v>242</v>
      </c>
      <c r="R36" s="360" t="s">
        <v>240</v>
      </c>
      <c r="S36" s="594" t="s">
        <v>40</v>
      </c>
      <c r="T36" s="360" t="s">
        <v>241</v>
      </c>
      <c r="U36" s="595" t="s">
        <v>58</v>
      </c>
    </row>
    <row r="37" spans="1:21" s="111" customFormat="1" ht="15" customHeight="1">
      <c r="A37" s="789"/>
      <c r="B37" s="789"/>
      <c r="C37" s="834"/>
      <c r="D37" s="7">
        <v>1</v>
      </c>
      <c r="E37" s="409">
        <v>1</v>
      </c>
      <c r="F37" s="7"/>
      <c r="G37" s="7"/>
      <c r="H37" s="1">
        <v>1</v>
      </c>
      <c r="I37" s="409" t="s">
        <v>212</v>
      </c>
      <c r="J37" s="418" t="s">
        <v>326</v>
      </c>
      <c r="K37" s="409">
        <v>2003</v>
      </c>
      <c r="L37" s="1106" t="s">
        <v>53</v>
      </c>
      <c r="M37" s="1103">
        <v>50</v>
      </c>
      <c r="N37" s="1099">
        <v>20.384</v>
      </c>
      <c r="O37" s="1099">
        <f>M37*N37</f>
        <v>1019.2</v>
      </c>
      <c r="P37" s="1099">
        <v>0</v>
      </c>
      <c r="Q37" s="1099">
        <v>0</v>
      </c>
      <c r="R37" s="1105">
        <v>0</v>
      </c>
      <c r="S37" s="1099">
        <v>23.76</v>
      </c>
      <c r="T37" s="1099">
        <v>0</v>
      </c>
      <c r="U37" s="1104">
        <f>T37+Q37+P37+O37</f>
        <v>1019.2</v>
      </c>
    </row>
    <row r="38" spans="1:21" s="111" customFormat="1" ht="15" customHeight="1">
      <c r="A38" s="791"/>
      <c r="B38" s="791"/>
      <c r="C38" s="790"/>
      <c r="D38" s="7">
        <v>1</v>
      </c>
      <c r="E38" s="22"/>
      <c r="F38" s="22">
        <v>1</v>
      </c>
      <c r="G38" s="22"/>
      <c r="H38" s="22">
        <v>1</v>
      </c>
      <c r="I38" s="22" t="s">
        <v>326</v>
      </c>
      <c r="J38" s="418"/>
      <c r="K38" s="22">
        <v>1975</v>
      </c>
      <c r="L38" s="1106"/>
      <c r="M38" s="1103"/>
      <c r="N38" s="1099"/>
      <c r="O38" s="1099"/>
      <c r="P38" s="1099"/>
      <c r="Q38" s="1099"/>
      <c r="R38" s="1105"/>
      <c r="S38" s="1099"/>
      <c r="T38" s="1099"/>
      <c r="U38" s="1104"/>
    </row>
    <row r="39" spans="1:21" s="111" customFormat="1" ht="15" customHeight="1">
      <c r="A39" s="793"/>
      <c r="B39" s="793"/>
      <c r="C39" s="801"/>
      <c r="D39" s="7">
        <v>1</v>
      </c>
      <c r="E39" s="409"/>
      <c r="F39" s="409">
        <v>1</v>
      </c>
      <c r="G39" s="22">
        <v>1</v>
      </c>
      <c r="H39" s="22"/>
      <c r="I39" s="409" t="s">
        <v>212</v>
      </c>
      <c r="J39" s="415" t="s">
        <v>212</v>
      </c>
      <c r="K39" s="409">
        <v>1998</v>
      </c>
      <c r="L39" s="1106" t="s">
        <v>52</v>
      </c>
      <c r="M39" s="1103">
        <v>186.5</v>
      </c>
      <c r="N39" s="1099">
        <v>20.384</v>
      </c>
      <c r="O39" s="1099">
        <f>M39*N39</f>
        <v>3801.616</v>
      </c>
      <c r="P39" s="1099">
        <v>524.62</v>
      </c>
      <c r="Q39" s="1099">
        <v>264.17</v>
      </c>
      <c r="R39" s="1105">
        <v>0</v>
      </c>
      <c r="S39" s="1099">
        <v>23.76</v>
      </c>
      <c r="T39" s="1099">
        <f>R39*S39</f>
        <v>0</v>
      </c>
      <c r="U39" s="1104">
        <f>T39+Q39+P39+O39</f>
        <v>4590.406</v>
      </c>
    </row>
    <row r="40" spans="1:21" s="111" customFormat="1" ht="15" customHeight="1">
      <c r="A40" s="793"/>
      <c r="B40" s="793"/>
      <c r="C40" s="801"/>
      <c r="D40" s="7">
        <v>1</v>
      </c>
      <c r="E40" s="409">
        <v>1</v>
      </c>
      <c r="F40" s="409"/>
      <c r="G40" s="22">
        <v>1</v>
      </c>
      <c r="H40" s="22"/>
      <c r="I40" s="409" t="s">
        <v>212</v>
      </c>
      <c r="J40" s="415" t="s">
        <v>212</v>
      </c>
      <c r="K40" s="409">
        <v>2002</v>
      </c>
      <c r="L40" s="1106"/>
      <c r="M40" s="1103"/>
      <c r="N40" s="1099"/>
      <c r="O40" s="1099"/>
      <c r="P40" s="1099"/>
      <c r="Q40" s="1099"/>
      <c r="R40" s="1105"/>
      <c r="S40" s="1099"/>
      <c r="T40" s="1099"/>
      <c r="U40" s="1104"/>
    </row>
    <row r="41" spans="1:21" s="111" customFormat="1" ht="15" customHeight="1">
      <c r="A41" s="793"/>
      <c r="B41" s="793"/>
      <c r="C41" s="801"/>
      <c r="D41" s="7">
        <v>1</v>
      </c>
      <c r="E41" s="409"/>
      <c r="F41" s="409">
        <v>1</v>
      </c>
      <c r="G41" s="22">
        <v>1</v>
      </c>
      <c r="H41" s="22"/>
      <c r="I41" s="409" t="s">
        <v>212</v>
      </c>
      <c r="J41" s="415" t="s">
        <v>212</v>
      </c>
      <c r="K41" s="409">
        <v>2000</v>
      </c>
      <c r="L41" s="1106"/>
      <c r="M41" s="1103"/>
      <c r="N41" s="1099"/>
      <c r="O41" s="1099"/>
      <c r="P41" s="1099"/>
      <c r="Q41" s="1099"/>
      <c r="R41" s="1105"/>
      <c r="S41" s="1099"/>
      <c r="T41" s="1099"/>
      <c r="U41" s="1104"/>
    </row>
    <row r="42" spans="1:21" s="111" customFormat="1" ht="15" customHeight="1">
      <c r="A42" s="793"/>
      <c r="B42" s="793"/>
      <c r="C42" s="801"/>
      <c r="D42" s="7">
        <v>1</v>
      </c>
      <c r="E42" s="409">
        <v>1</v>
      </c>
      <c r="F42" s="7"/>
      <c r="G42" s="1">
        <v>1</v>
      </c>
      <c r="H42" s="7"/>
      <c r="I42" s="409" t="s">
        <v>212</v>
      </c>
      <c r="J42" s="418" t="s">
        <v>212</v>
      </c>
      <c r="K42" s="409">
        <v>1999</v>
      </c>
      <c r="L42" s="22" t="s">
        <v>53</v>
      </c>
      <c r="M42" s="198">
        <v>134.5</v>
      </c>
      <c r="N42" s="195">
        <v>20.384</v>
      </c>
      <c r="O42" s="195">
        <f>M42*N42</f>
        <v>2741.648</v>
      </c>
      <c r="P42" s="145">
        <v>100.71</v>
      </c>
      <c r="Q42" s="145">
        <f>79.1*1.04</f>
        <v>82.264</v>
      </c>
      <c r="R42" s="180">
        <v>52</v>
      </c>
      <c r="S42" s="195">
        <v>23.76</v>
      </c>
      <c r="T42" s="195">
        <f>R42*S42</f>
        <v>1235.52</v>
      </c>
      <c r="U42" s="368">
        <f>O42+T42+P42+Q42</f>
        <v>4160.142</v>
      </c>
    </row>
    <row r="43" spans="1:21" s="111" customFormat="1" ht="30" customHeight="1">
      <c r="A43" s="1109" t="s">
        <v>233</v>
      </c>
      <c r="B43" s="1110"/>
      <c r="C43" s="304"/>
      <c r="D43" s="7"/>
      <c r="E43" s="298"/>
      <c r="F43" s="7"/>
      <c r="G43" s="295"/>
      <c r="H43" s="7"/>
      <c r="I43" s="298"/>
      <c r="J43" s="299"/>
      <c r="K43" s="298"/>
      <c r="L43" s="14" t="s">
        <v>257</v>
      </c>
      <c r="M43" s="198"/>
      <c r="N43" s="195"/>
      <c r="O43" s="195"/>
      <c r="P43" s="145"/>
      <c r="Q43" s="145"/>
      <c r="R43" s="180"/>
      <c r="S43" s="195"/>
      <c r="T43" s="195"/>
      <c r="U43" s="325">
        <v>5841.99</v>
      </c>
    </row>
    <row r="44" spans="1:21" s="111" customFormat="1" ht="15" customHeight="1">
      <c r="A44" s="1111" t="s">
        <v>51</v>
      </c>
      <c r="B44" s="1112"/>
      <c r="C44" s="304"/>
      <c r="D44" s="7"/>
      <c r="E44" s="298"/>
      <c r="F44" s="7"/>
      <c r="G44" s="295"/>
      <c r="H44" s="7"/>
      <c r="I44" s="298"/>
      <c r="J44" s="299"/>
      <c r="K44" s="298"/>
      <c r="L44" s="14"/>
      <c r="M44" s="198"/>
      <c r="N44" s="195"/>
      <c r="O44" s="195"/>
      <c r="P44" s="145"/>
      <c r="Q44" s="145"/>
      <c r="R44" s="180"/>
      <c r="S44" s="195"/>
      <c r="T44" s="195"/>
      <c r="U44" s="325">
        <f>321.31*4-1235.52</f>
        <v>49.72000000000003</v>
      </c>
    </row>
    <row r="45" spans="1:21" s="213" customFormat="1" ht="15" customHeight="1">
      <c r="A45" s="1030" t="s">
        <v>478</v>
      </c>
      <c r="B45" s="1030"/>
      <c r="C45" s="202"/>
      <c r="D45" s="202">
        <v>6</v>
      </c>
      <c r="E45" s="202">
        <f>SUM(E37:E42)</f>
        <v>3</v>
      </c>
      <c r="F45" s="202">
        <f>SUM(F37:F42)</f>
        <v>3</v>
      </c>
      <c r="G45" s="202">
        <f>SUM(G37:G42)</f>
        <v>4</v>
      </c>
      <c r="H45" s="202">
        <f>SUM(H37:H42)</f>
        <v>2</v>
      </c>
      <c r="I45" s="312"/>
      <c r="J45" s="207"/>
      <c r="K45" s="207"/>
      <c r="L45" s="203"/>
      <c r="M45" s="203">
        <f>SUM(M37:M42)</f>
        <v>371</v>
      </c>
      <c r="N45" s="312"/>
      <c r="O45" s="204">
        <f>SUM(O35:O42)</f>
        <v>7562.464</v>
      </c>
      <c r="P45" s="204">
        <f>SUM(P37:P44)</f>
        <v>625.33</v>
      </c>
      <c r="Q45" s="204">
        <f>SUM(Q37:Q44)</f>
        <v>346.434</v>
      </c>
      <c r="R45" s="203">
        <f>SUM(R37:R42)</f>
        <v>52</v>
      </c>
      <c r="S45" s="312"/>
      <c r="T45" s="337">
        <f>SUM(T37:T42)</f>
        <v>1235.52</v>
      </c>
      <c r="U45" s="339">
        <f>SUM(U37:U44)</f>
        <v>15661.457999999999</v>
      </c>
    </row>
    <row r="46" spans="1:21" s="4" customFormat="1" ht="15" customHeight="1">
      <c r="A46" s="1027" t="s">
        <v>65</v>
      </c>
      <c r="B46" s="1027"/>
      <c r="C46" s="87"/>
      <c r="D46" s="87"/>
      <c r="E46" s="300"/>
      <c r="F46" s="87"/>
      <c r="G46" s="87"/>
      <c r="H46" s="87"/>
      <c r="I46" s="87"/>
      <c r="J46" s="87"/>
      <c r="K46" s="87"/>
      <c r="L46" s="103"/>
      <c r="M46" s="199"/>
      <c r="N46" s="196"/>
      <c r="O46" s="196"/>
      <c r="P46" s="196"/>
      <c r="Q46" s="196"/>
      <c r="R46" s="196"/>
      <c r="S46" s="196"/>
      <c r="T46" s="196"/>
      <c r="U46" s="211"/>
    </row>
    <row r="47" spans="1:21" s="50" customFormat="1" ht="57" customHeight="1">
      <c r="A47" s="39" t="s">
        <v>332</v>
      </c>
      <c r="B47" s="39" t="s">
        <v>333</v>
      </c>
      <c r="C47" s="39" t="s">
        <v>213</v>
      </c>
      <c r="D47" s="115" t="s">
        <v>36</v>
      </c>
      <c r="E47" s="115" t="s">
        <v>73</v>
      </c>
      <c r="F47" s="115" t="s">
        <v>74</v>
      </c>
      <c r="G47" s="115" t="s">
        <v>37</v>
      </c>
      <c r="H47" s="115" t="s">
        <v>38</v>
      </c>
      <c r="I47" s="115" t="s">
        <v>15</v>
      </c>
      <c r="J47" s="115" t="s">
        <v>214</v>
      </c>
      <c r="K47" s="115" t="s">
        <v>39</v>
      </c>
      <c r="L47" s="115" t="s">
        <v>84</v>
      </c>
      <c r="M47" s="360" t="s">
        <v>259</v>
      </c>
      <c r="N47" s="594" t="s">
        <v>40</v>
      </c>
      <c r="O47" s="360" t="s">
        <v>238</v>
      </c>
      <c r="P47" s="360" t="s">
        <v>239</v>
      </c>
      <c r="Q47" s="360" t="s">
        <v>242</v>
      </c>
      <c r="R47" s="360" t="s">
        <v>240</v>
      </c>
      <c r="S47" s="594" t="s">
        <v>40</v>
      </c>
      <c r="T47" s="360" t="s">
        <v>241</v>
      </c>
      <c r="U47" s="595" t="s">
        <v>58</v>
      </c>
    </row>
    <row r="48" spans="1:21" s="4" customFormat="1" ht="15" customHeight="1">
      <c r="A48" s="789"/>
      <c r="B48" s="789"/>
      <c r="C48" s="835"/>
      <c r="D48" s="7">
        <v>1</v>
      </c>
      <c r="E48" s="409">
        <v>1</v>
      </c>
      <c r="F48" s="409"/>
      <c r="G48" s="409">
        <v>1</v>
      </c>
      <c r="H48" s="409"/>
      <c r="I48" s="418" t="s">
        <v>212</v>
      </c>
      <c r="J48" s="415"/>
      <c r="K48" s="418">
        <v>1971</v>
      </c>
      <c r="L48" s="1102" t="s">
        <v>53</v>
      </c>
      <c r="M48" s="1100">
        <v>0</v>
      </c>
      <c r="N48" s="1099">
        <v>20.384</v>
      </c>
      <c r="O48" s="1099">
        <f>M48*N48</f>
        <v>0</v>
      </c>
      <c r="P48" s="1099">
        <v>0</v>
      </c>
      <c r="Q48" s="1099">
        <v>0</v>
      </c>
      <c r="R48" s="1100">
        <v>16</v>
      </c>
      <c r="S48" s="1099">
        <v>23.76</v>
      </c>
      <c r="T48" s="1099">
        <f>R48*S48</f>
        <v>380.16</v>
      </c>
      <c r="U48" s="1099">
        <f>T48+O48+P48+Q48</f>
        <v>380.16</v>
      </c>
    </row>
    <row r="49" spans="1:21" s="4" customFormat="1" ht="15" customHeight="1">
      <c r="A49" s="793"/>
      <c r="B49" s="793"/>
      <c r="C49" s="801"/>
      <c r="D49" s="7">
        <v>1</v>
      </c>
      <c r="E49" s="345"/>
      <c r="F49" s="409">
        <v>1</v>
      </c>
      <c r="G49" s="345"/>
      <c r="H49" s="409">
        <v>1</v>
      </c>
      <c r="I49" s="418" t="s">
        <v>212</v>
      </c>
      <c r="J49" s="415" t="s">
        <v>506</v>
      </c>
      <c r="K49" s="418">
        <v>2012</v>
      </c>
      <c r="L49" s="1102"/>
      <c r="M49" s="1100"/>
      <c r="N49" s="1099"/>
      <c r="O49" s="1099"/>
      <c r="P49" s="1099"/>
      <c r="Q49" s="1099"/>
      <c r="R49" s="1100"/>
      <c r="S49" s="1099"/>
      <c r="T49" s="1099"/>
      <c r="U49" s="1099"/>
    </row>
    <row r="50" spans="1:21" s="422" customFormat="1" ht="15" customHeight="1">
      <c r="A50" s="793"/>
      <c r="B50" s="793"/>
      <c r="C50" s="801"/>
      <c r="D50" s="409">
        <v>1</v>
      </c>
      <c r="E50" s="409"/>
      <c r="F50" s="409">
        <v>1</v>
      </c>
      <c r="G50" s="415"/>
      <c r="H50" s="409">
        <v>1</v>
      </c>
      <c r="I50" s="418" t="s">
        <v>505</v>
      </c>
      <c r="J50" s="415" t="s">
        <v>505</v>
      </c>
      <c r="K50" s="418">
        <v>1991</v>
      </c>
      <c r="L50" s="1102"/>
      <c r="M50" s="1100"/>
      <c r="N50" s="1099"/>
      <c r="O50" s="1099"/>
      <c r="P50" s="1099"/>
      <c r="Q50" s="1099"/>
      <c r="R50" s="1100"/>
      <c r="S50" s="1099"/>
      <c r="T50" s="1099"/>
      <c r="U50" s="1099"/>
    </row>
    <row r="51" spans="1:21" s="422" customFormat="1" ht="15" customHeight="1">
      <c r="A51" s="793"/>
      <c r="B51" s="793"/>
      <c r="C51" s="801"/>
      <c r="D51" s="409">
        <v>1</v>
      </c>
      <c r="E51" s="409">
        <v>1</v>
      </c>
      <c r="F51" s="409"/>
      <c r="G51" s="415"/>
      <c r="H51" s="409">
        <v>1</v>
      </c>
      <c r="I51" s="418" t="s">
        <v>169</v>
      </c>
      <c r="J51" s="415"/>
      <c r="K51" s="418">
        <v>1963</v>
      </c>
      <c r="L51" s="1102" t="s">
        <v>53</v>
      </c>
      <c r="M51" s="1100">
        <v>44</v>
      </c>
      <c r="N51" s="1099">
        <v>20.384</v>
      </c>
      <c r="O51" s="1099">
        <f>M51*N51</f>
        <v>896.896</v>
      </c>
      <c r="P51" s="1099">
        <v>0</v>
      </c>
      <c r="Q51" s="1099">
        <v>0</v>
      </c>
      <c r="R51" s="1100">
        <v>24</v>
      </c>
      <c r="S51" s="1099">
        <v>23.76</v>
      </c>
      <c r="T51" s="1099">
        <f>R51*S51</f>
        <v>570.24</v>
      </c>
      <c r="U51" s="1099">
        <f>T51+Q51+P51+O51</f>
        <v>1467.136</v>
      </c>
    </row>
    <row r="52" spans="1:21" s="422" customFormat="1" ht="15" customHeight="1">
      <c r="A52" s="793"/>
      <c r="B52" s="793"/>
      <c r="C52" s="801"/>
      <c r="D52" s="409">
        <v>1</v>
      </c>
      <c r="E52" s="409"/>
      <c r="F52" s="409">
        <v>1</v>
      </c>
      <c r="G52" s="409">
        <v>1</v>
      </c>
      <c r="H52" s="409"/>
      <c r="I52" s="418" t="s">
        <v>212</v>
      </c>
      <c r="J52" s="415"/>
      <c r="K52" s="418">
        <v>1970</v>
      </c>
      <c r="L52" s="1102"/>
      <c r="M52" s="1100"/>
      <c r="N52" s="1099"/>
      <c r="O52" s="1099"/>
      <c r="P52" s="1099"/>
      <c r="Q52" s="1099"/>
      <c r="R52" s="1100"/>
      <c r="S52" s="1099"/>
      <c r="T52" s="1099"/>
      <c r="U52" s="1099"/>
    </row>
    <row r="53" spans="1:21" s="422" customFormat="1" ht="15" customHeight="1">
      <c r="A53" s="793"/>
      <c r="B53" s="793"/>
      <c r="C53" s="801"/>
      <c r="D53" s="409">
        <v>1</v>
      </c>
      <c r="E53" s="409">
        <v>1</v>
      </c>
      <c r="F53" s="409"/>
      <c r="G53" s="409">
        <v>1</v>
      </c>
      <c r="H53" s="409"/>
      <c r="I53" s="418" t="s">
        <v>212</v>
      </c>
      <c r="J53" s="624" t="s">
        <v>170</v>
      </c>
      <c r="K53" s="418">
        <v>2008</v>
      </c>
      <c r="L53" s="1102"/>
      <c r="M53" s="1100"/>
      <c r="N53" s="1099"/>
      <c r="O53" s="1099"/>
      <c r="P53" s="1099"/>
      <c r="Q53" s="1099"/>
      <c r="R53" s="1100"/>
      <c r="S53" s="1099"/>
      <c r="T53" s="1099"/>
      <c r="U53" s="1099"/>
    </row>
    <row r="54" spans="1:21" s="422" customFormat="1" ht="15" customHeight="1">
      <c r="A54" s="793"/>
      <c r="B54" s="793"/>
      <c r="C54" s="801"/>
      <c r="D54" s="409">
        <v>1</v>
      </c>
      <c r="E54" s="409"/>
      <c r="F54" s="409">
        <v>1</v>
      </c>
      <c r="G54" s="409">
        <v>1</v>
      </c>
      <c r="H54" s="409"/>
      <c r="I54" s="418" t="s">
        <v>212</v>
      </c>
      <c r="J54" s="624" t="s">
        <v>170</v>
      </c>
      <c r="K54" s="418">
        <v>2012</v>
      </c>
      <c r="L54" s="1102"/>
      <c r="M54" s="1100"/>
      <c r="N54" s="1099"/>
      <c r="O54" s="1099"/>
      <c r="P54" s="1099"/>
      <c r="Q54" s="1099"/>
      <c r="R54" s="1100"/>
      <c r="S54" s="1099"/>
      <c r="T54" s="1099"/>
      <c r="U54" s="1099"/>
    </row>
    <row r="55" spans="1:21" s="280" customFormat="1" ht="15" customHeight="1">
      <c r="A55" s="769" t="s">
        <v>51</v>
      </c>
      <c r="B55" s="623"/>
      <c r="C55" s="304"/>
      <c r="D55" s="1"/>
      <c r="E55" s="298"/>
      <c r="F55" s="298"/>
      <c r="G55" s="298"/>
      <c r="H55" s="298"/>
      <c r="I55" s="298"/>
      <c r="J55" s="304"/>
      <c r="K55" s="298"/>
      <c r="L55" s="200"/>
      <c r="M55" s="198"/>
      <c r="N55" s="195"/>
      <c r="O55" s="195"/>
      <c r="P55" s="195"/>
      <c r="Q55" s="195"/>
      <c r="R55" s="200"/>
      <c r="S55" s="195"/>
      <c r="T55" s="338"/>
      <c r="U55" s="325">
        <f>1851.6-T56</f>
        <v>901.1999999999998</v>
      </c>
    </row>
    <row r="56" spans="1:21" s="213" customFormat="1" ht="15" customHeight="1">
      <c r="A56" s="1030" t="s">
        <v>340</v>
      </c>
      <c r="B56" s="1030"/>
      <c r="C56" s="202"/>
      <c r="D56" s="202">
        <v>7</v>
      </c>
      <c r="E56" s="202">
        <f>SUM(E48:E55)</f>
        <v>3</v>
      </c>
      <c r="F56" s="202">
        <f>SUM(F47:F55)</f>
        <v>4</v>
      </c>
      <c r="G56" s="202">
        <f>SUM(G48:G55)</f>
        <v>4</v>
      </c>
      <c r="H56" s="202">
        <f>SUM(H49:H54)</f>
        <v>3</v>
      </c>
      <c r="I56" s="312"/>
      <c r="J56" s="207"/>
      <c r="K56" s="207"/>
      <c r="L56" s="203"/>
      <c r="M56" s="203">
        <f>SUM(M51:M55)</f>
        <v>44</v>
      </c>
      <c r="N56" s="312"/>
      <c r="O56" s="204">
        <v>0</v>
      </c>
      <c r="P56" s="204">
        <f>SUM(P48:P55)</f>
        <v>0</v>
      </c>
      <c r="Q56" s="204">
        <f>SUM(Q48:Q55)</f>
        <v>0</v>
      </c>
      <c r="R56" s="203">
        <f>SUM(R48:R54)</f>
        <v>40</v>
      </c>
      <c r="S56" s="312"/>
      <c r="T56" s="339">
        <f>SUM(T48:T54)</f>
        <v>950.4000000000001</v>
      </c>
      <c r="U56" s="339">
        <f>SUM(U48:U55)</f>
        <v>2748.496</v>
      </c>
    </row>
    <row r="57" spans="1:21" s="4" customFormat="1" ht="15" customHeight="1">
      <c r="A57" s="1027" t="s">
        <v>69</v>
      </c>
      <c r="B57" s="1027"/>
      <c r="C57" s="87"/>
      <c r="D57" s="365"/>
      <c r="E57" s="314"/>
      <c r="F57" s="314"/>
      <c r="G57" s="314"/>
      <c r="H57" s="314"/>
      <c r="I57" s="315"/>
      <c r="J57" s="314"/>
      <c r="K57" s="314"/>
      <c r="L57" s="199"/>
      <c r="M57" s="315"/>
      <c r="N57" s="315"/>
      <c r="O57" s="199"/>
      <c r="P57" s="199"/>
      <c r="Q57" s="199"/>
      <c r="R57" s="199"/>
      <c r="S57" s="315"/>
      <c r="T57" s="103"/>
      <c r="U57" s="103"/>
    </row>
    <row r="58" spans="1:21" s="4" customFormat="1" ht="57" customHeight="1">
      <c r="A58" s="39" t="s">
        <v>332</v>
      </c>
      <c r="B58" s="39" t="s">
        <v>333</v>
      </c>
      <c r="C58" s="39" t="s">
        <v>213</v>
      </c>
      <c r="D58" s="115" t="s">
        <v>36</v>
      </c>
      <c r="E58" s="115" t="s">
        <v>73</v>
      </c>
      <c r="F58" s="115" t="s">
        <v>74</v>
      </c>
      <c r="G58" s="115" t="s">
        <v>37</v>
      </c>
      <c r="H58" s="115" t="s">
        <v>38</v>
      </c>
      <c r="I58" s="115" t="s">
        <v>15</v>
      </c>
      <c r="J58" s="115" t="s">
        <v>214</v>
      </c>
      <c r="K58" s="115" t="s">
        <v>39</v>
      </c>
      <c r="L58" s="115" t="s">
        <v>84</v>
      </c>
      <c r="M58" s="360" t="s">
        <v>259</v>
      </c>
      <c r="N58" s="594" t="s">
        <v>40</v>
      </c>
      <c r="O58" s="360" t="s">
        <v>238</v>
      </c>
      <c r="P58" s="360" t="s">
        <v>239</v>
      </c>
      <c r="Q58" s="360" t="s">
        <v>242</v>
      </c>
      <c r="R58" s="360" t="s">
        <v>240</v>
      </c>
      <c r="S58" s="594" t="s">
        <v>40</v>
      </c>
      <c r="T58" s="360" t="s">
        <v>241</v>
      </c>
      <c r="U58" s="595" t="s">
        <v>58</v>
      </c>
    </row>
    <row r="59" spans="1:21" s="280" customFormat="1" ht="15" customHeight="1">
      <c r="A59" s="791"/>
      <c r="B59" s="791"/>
      <c r="C59" s="790"/>
      <c r="D59" s="1">
        <v>1</v>
      </c>
      <c r="E59" s="22">
        <v>1</v>
      </c>
      <c r="F59" s="305"/>
      <c r="G59" s="22">
        <v>1</v>
      </c>
      <c r="H59" s="305"/>
      <c r="I59" s="22" t="s">
        <v>212</v>
      </c>
      <c r="J59" s="222" t="s">
        <v>212</v>
      </c>
      <c r="K59" s="22">
        <v>1998</v>
      </c>
      <c r="L59" s="22" t="s">
        <v>366</v>
      </c>
      <c r="M59" s="200">
        <v>83</v>
      </c>
      <c r="N59" s="195">
        <v>20.384</v>
      </c>
      <c r="O59" s="195">
        <f>M59*N59</f>
        <v>1691.872</v>
      </c>
      <c r="P59" s="145">
        <v>175.47</v>
      </c>
      <c r="Q59" s="145">
        <f>103.76+90.38</f>
        <v>194.14</v>
      </c>
      <c r="R59" s="200">
        <v>0</v>
      </c>
      <c r="S59" s="195">
        <v>23.76</v>
      </c>
      <c r="T59" s="338">
        <f>R59*S59</f>
        <v>0</v>
      </c>
      <c r="U59" s="338">
        <f>O59+P59+Q59</f>
        <v>2061.482</v>
      </c>
    </row>
    <row r="60" spans="1:21" s="213" customFormat="1" ht="15" customHeight="1">
      <c r="A60" s="1030" t="s">
        <v>13</v>
      </c>
      <c r="B60" s="1030"/>
      <c r="C60" s="202"/>
      <c r="D60" s="205">
        <v>1</v>
      </c>
      <c r="E60" s="205">
        <f>SUM(E59:E59)</f>
        <v>1</v>
      </c>
      <c r="F60" s="205">
        <f>SUM(F59:F59)</f>
        <v>0</v>
      </c>
      <c r="G60" s="205">
        <f>SUM(G59:G59)</f>
        <v>1</v>
      </c>
      <c r="H60" s="207"/>
      <c r="I60" s="312"/>
      <c r="J60" s="207"/>
      <c r="K60" s="207"/>
      <c r="L60" s="203"/>
      <c r="M60" s="203">
        <f>SUM(M59:M59)</f>
        <v>83</v>
      </c>
      <c r="N60" s="312"/>
      <c r="O60" s="204">
        <f>SUM(O59:O59)</f>
        <v>1691.872</v>
      </c>
      <c r="P60" s="204">
        <f>SUM(P59:P59)</f>
        <v>175.47</v>
      </c>
      <c r="Q60" s="204">
        <f>SUM(Q59:Q59)</f>
        <v>194.14</v>
      </c>
      <c r="R60" s="203">
        <f>SUM(R59:R59)</f>
        <v>0</v>
      </c>
      <c r="S60" s="312"/>
      <c r="T60" s="339">
        <f>SUM(T59:T59)</f>
        <v>0</v>
      </c>
      <c r="U60" s="339">
        <f>SUM(U59:U59)</f>
        <v>2061.482</v>
      </c>
    </row>
    <row r="61" spans="1:21" s="4" customFormat="1" ht="15" customHeight="1">
      <c r="A61" s="1027" t="s">
        <v>70</v>
      </c>
      <c r="B61" s="1027"/>
      <c r="C61" s="87"/>
      <c r="D61" s="365"/>
      <c r="E61" s="314"/>
      <c r="F61" s="314"/>
      <c r="G61" s="314"/>
      <c r="H61" s="314"/>
      <c r="I61" s="315"/>
      <c r="J61" s="314"/>
      <c r="K61" s="314"/>
      <c r="L61" s="199"/>
      <c r="M61" s="315"/>
      <c r="N61" s="315"/>
      <c r="O61" s="199"/>
      <c r="P61" s="199"/>
      <c r="Q61" s="199"/>
      <c r="R61" s="199"/>
      <c r="S61" s="315"/>
      <c r="T61" s="103"/>
      <c r="U61" s="103"/>
    </row>
    <row r="62" spans="1:21" s="4" customFormat="1" ht="56.25" customHeight="1">
      <c r="A62" s="39" t="s">
        <v>332</v>
      </c>
      <c r="B62" s="39" t="s">
        <v>333</v>
      </c>
      <c r="C62" s="39" t="s">
        <v>213</v>
      </c>
      <c r="D62" s="115" t="s">
        <v>36</v>
      </c>
      <c r="E62" s="115" t="s">
        <v>73</v>
      </c>
      <c r="F62" s="115" t="s">
        <v>74</v>
      </c>
      <c r="G62" s="115" t="s">
        <v>37</v>
      </c>
      <c r="H62" s="115" t="s">
        <v>38</v>
      </c>
      <c r="I62" s="115" t="s">
        <v>15</v>
      </c>
      <c r="J62" s="115" t="s">
        <v>214</v>
      </c>
      <c r="K62" s="115" t="s">
        <v>39</v>
      </c>
      <c r="L62" s="115" t="s">
        <v>84</v>
      </c>
      <c r="M62" s="360" t="s">
        <v>259</v>
      </c>
      <c r="N62" s="594" t="s">
        <v>40</v>
      </c>
      <c r="O62" s="360" t="s">
        <v>238</v>
      </c>
      <c r="P62" s="360" t="s">
        <v>239</v>
      </c>
      <c r="Q62" s="360" t="s">
        <v>242</v>
      </c>
      <c r="R62" s="360" t="s">
        <v>240</v>
      </c>
      <c r="S62" s="594" t="s">
        <v>40</v>
      </c>
      <c r="T62" s="360" t="s">
        <v>241</v>
      </c>
      <c r="U62" s="595" t="s">
        <v>58</v>
      </c>
    </row>
    <row r="63" spans="1:21" s="111" customFormat="1" ht="15" customHeight="1">
      <c r="A63" s="791"/>
      <c r="B63" s="791"/>
      <c r="C63" s="792"/>
      <c r="D63" s="1">
        <v>1</v>
      </c>
      <c r="E63" s="22">
        <v>1</v>
      </c>
      <c r="F63" s="77"/>
      <c r="G63" s="77"/>
      <c r="H63" s="22">
        <v>1</v>
      </c>
      <c r="I63" s="22" t="s">
        <v>427</v>
      </c>
      <c r="J63" s="222" t="s">
        <v>427</v>
      </c>
      <c r="K63" s="78">
        <v>1998</v>
      </c>
      <c r="L63" s="22" t="s">
        <v>258</v>
      </c>
      <c r="M63" s="200"/>
      <c r="N63" s="195"/>
      <c r="O63" s="195"/>
      <c r="P63" s="195"/>
      <c r="Q63" s="195"/>
      <c r="R63" s="198"/>
      <c r="S63" s="195"/>
      <c r="T63" s="195"/>
      <c r="U63" s="338">
        <v>5292.1</v>
      </c>
    </row>
    <row r="64" spans="1:21" s="111" customFormat="1" ht="15" customHeight="1">
      <c r="A64" s="791"/>
      <c r="B64" s="791"/>
      <c r="C64" s="792"/>
      <c r="D64" s="1">
        <v>1</v>
      </c>
      <c r="E64" s="22">
        <v>1</v>
      </c>
      <c r="F64" s="77"/>
      <c r="G64" s="77">
        <v>1</v>
      </c>
      <c r="H64" s="22"/>
      <c r="I64" s="22" t="s">
        <v>212</v>
      </c>
      <c r="J64" s="222" t="s">
        <v>115</v>
      </c>
      <c r="K64" s="78">
        <v>2002</v>
      </c>
      <c r="L64" s="22" t="s">
        <v>366</v>
      </c>
      <c r="M64" s="200">
        <v>107</v>
      </c>
      <c r="N64" s="195">
        <v>20.384</v>
      </c>
      <c r="O64" s="195">
        <f>M64*N64</f>
        <v>2181.088</v>
      </c>
      <c r="P64" s="195">
        <v>0</v>
      </c>
      <c r="Q64" s="195">
        <v>0</v>
      </c>
      <c r="R64" s="198">
        <v>0</v>
      </c>
      <c r="S64" s="195">
        <v>23.76</v>
      </c>
      <c r="T64" s="195">
        <f>R64*S64</f>
        <v>0</v>
      </c>
      <c r="U64" s="338">
        <f>T64+Q64+P64+O64</f>
        <v>2181.088</v>
      </c>
    </row>
    <row r="65" spans="1:21" s="111" customFormat="1" ht="15" customHeight="1">
      <c r="A65" s="791"/>
      <c r="B65" s="791"/>
      <c r="C65" s="792"/>
      <c r="D65" s="1">
        <v>1</v>
      </c>
      <c r="E65" s="22"/>
      <c r="F65" s="77">
        <v>1</v>
      </c>
      <c r="G65" s="77">
        <v>1</v>
      </c>
      <c r="H65" s="22"/>
      <c r="I65" s="22" t="s">
        <v>212</v>
      </c>
      <c r="J65" s="22" t="s">
        <v>212</v>
      </c>
      <c r="K65" s="78">
        <v>1996</v>
      </c>
      <c r="L65" s="22" t="s">
        <v>52</v>
      </c>
      <c r="M65" s="200">
        <v>175.75</v>
      </c>
      <c r="N65" s="195">
        <v>20.384</v>
      </c>
      <c r="O65" s="195">
        <f>M65*N65</f>
        <v>3582.4880000000003</v>
      </c>
      <c r="P65" s="145">
        <v>102.8</v>
      </c>
      <c r="Q65" s="145">
        <v>0</v>
      </c>
      <c r="R65" s="198">
        <v>0</v>
      </c>
      <c r="S65" s="195">
        <v>23.76</v>
      </c>
      <c r="T65" s="195">
        <f>R65*S65</f>
        <v>0</v>
      </c>
      <c r="U65" s="338">
        <f>O65+P65+Q65+T65</f>
        <v>3685.2880000000005</v>
      </c>
    </row>
    <row r="66" spans="1:21" s="111" customFormat="1" ht="15" customHeight="1">
      <c r="A66" s="791"/>
      <c r="B66" s="791"/>
      <c r="C66" s="792"/>
      <c r="D66" s="1">
        <v>1</v>
      </c>
      <c r="E66" s="22">
        <v>1</v>
      </c>
      <c r="F66" s="77"/>
      <c r="G66" s="77">
        <v>1</v>
      </c>
      <c r="H66" s="22"/>
      <c r="I66" s="22" t="s">
        <v>212</v>
      </c>
      <c r="J66" s="222" t="s">
        <v>501</v>
      </c>
      <c r="K66" s="78">
        <v>1998</v>
      </c>
      <c r="L66" s="22" t="s">
        <v>52</v>
      </c>
      <c r="M66" s="1103">
        <v>108</v>
      </c>
      <c r="N66" s="1099">
        <v>20.384</v>
      </c>
      <c r="O66" s="1098">
        <f>M66*N66</f>
        <v>2201.472</v>
      </c>
      <c r="P66" s="1098">
        <v>0</v>
      </c>
      <c r="Q66" s="1098">
        <v>0</v>
      </c>
      <c r="R66" s="198">
        <v>0</v>
      </c>
      <c r="S66" s="195">
        <v>23.76</v>
      </c>
      <c r="T66" s="195">
        <f>R66*S66</f>
        <v>0</v>
      </c>
      <c r="U66" s="338">
        <f>O66+P66+Q66+T66</f>
        <v>2201.472</v>
      </c>
    </row>
    <row r="67" spans="1:21" s="111" customFormat="1" ht="15" customHeight="1">
      <c r="A67" s="791"/>
      <c r="B67" s="791"/>
      <c r="C67" s="792"/>
      <c r="D67" s="1">
        <v>1</v>
      </c>
      <c r="E67" s="22">
        <v>1</v>
      </c>
      <c r="F67" s="77"/>
      <c r="G67" s="77">
        <v>1</v>
      </c>
      <c r="H67" s="22"/>
      <c r="I67" s="22" t="s">
        <v>212</v>
      </c>
      <c r="J67" s="222" t="s">
        <v>501</v>
      </c>
      <c r="K67" s="78">
        <v>1998</v>
      </c>
      <c r="L67" s="22" t="s">
        <v>52</v>
      </c>
      <c r="M67" s="1103"/>
      <c r="N67" s="1099"/>
      <c r="O67" s="1098"/>
      <c r="P67" s="1098"/>
      <c r="Q67" s="1098"/>
      <c r="R67" s="198">
        <v>0</v>
      </c>
      <c r="S67" s="195">
        <v>23.76</v>
      </c>
      <c r="T67" s="195">
        <f>R67*S67</f>
        <v>0</v>
      </c>
      <c r="U67" s="338">
        <f>O67+P67+Q67+T67</f>
        <v>0</v>
      </c>
    </row>
    <row r="68" spans="1:21" s="111" customFormat="1" ht="15" customHeight="1">
      <c r="A68" s="791"/>
      <c r="B68" s="791"/>
      <c r="C68" s="792"/>
      <c r="D68" s="1">
        <v>1</v>
      </c>
      <c r="E68" s="22"/>
      <c r="F68" s="77">
        <v>1</v>
      </c>
      <c r="G68" s="77">
        <v>1</v>
      </c>
      <c r="H68" s="22"/>
      <c r="I68" s="22" t="s">
        <v>212</v>
      </c>
      <c r="J68" s="222" t="s">
        <v>212</v>
      </c>
      <c r="K68" s="78">
        <v>2001</v>
      </c>
      <c r="L68" s="1" t="s">
        <v>366</v>
      </c>
      <c r="M68" s="200">
        <v>42.25</v>
      </c>
      <c r="N68" s="195">
        <v>20.384</v>
      </c>
      <c r="O68" s="340">
        <f>M68*N68</f>
        <v>861.224</v>
      </c>
      <c r="P68" s="145">
        <v>52.29</v>
      </c>
      <c r="Q68" s="145">
        <v>12.25</v>
      </c>
      <c r="R68" s="198">
        <v>0</v>
      </c>
      <c r="S68" s="195">
        <v>23.76</v>
      </c>
      <c r="T68" s="195">
        <f>R68*S68</f>
        <v>0</v>
      </c>
      <c r="U68" s="338">
        <f>O68+P68+Q68+T68</f>
        <v>925.764</v>
      </c>
    </row>
    <row r="69" spans="1:21" s="111" customFormat="1" ht="15" customHeight="1">
      <c r="A69" s="769" t="s">
        <v>51</v>
      </c>
      <c r="B69" s="296"/>
      <c r="C69" s="279"/>
      <c r="D69" s="305"/>
      <c r="E69" s="305"/>
      <c r="F69" s="305"/>
      <c r="G69" s="305"/>
      <c r="H69" s="305"/>
      <c r="I69" s="335"/>
      <c r="J69" s="305"/>
      <c r="K69" s="305"/>
      <c r="L69" s="198"/>
      <c r="M69" s="198"/>
      <c r="N69" s="195"/>
      <c r="O69" s="340"/>
      <c r="P69" s="340"/>
      <c r="Q69" s="340"/>
      <c r="R69" s="198"/>
      <c r="S69" s="340"/>
      <c r="T69" s="340"/>
      <c r="U69" s="338">
        <f>251.51*4</f>
        <v>1006.04</v>
      </c>
    </row>
    <row r="70" spans="1:21" s="213" customFormat="1" ht="15" customHeight="1">
      <c r="A70" s="1030" t="s">
        <v>341</v>
      </c>
      <c r="B70" s="1030"/>
      <c r="C70" s="202"/>
      <c r="D70" s="205">
        <v>6</v>
      </c>
      <c r="E70" s="205">
        <f>SUM(E63:E68)</f>
        <v>4</v>
      </c>
      <c r="F70" s="205">
        <f>SUM(F63:F68)</f>
        <v>2</v>
      </c>
      <c r="G70" s="205">
        <f>SUM(G63:G68)</f>
        <v>5</v>
      </c>
      <c r="H70" s="205">
        <f>SUM(H63:H68)</f>
        <v>1</v>
      </c>
      <c r="I70" s="312"/>
      <c r="J70" s="207"/>
      <c r="K70" s="207"/>
      <c r="L70" s="203"/>
      <c r="M70" s="203">
        <f>SUM(M63:M69)</f>
        <v>433</v>
      </c>
      <c r="N70" s="312"/>
      <c r="O70" s="204">
        <f>SUM(O63:O69)</f>
        <v>8826.272</v>
      </c>
      <c r="P70" s="204">
        <f>SUM(P63:P69)</f>
        <v>155.09</v>
      </c>
      <c r="Q70" s="204">
        <f>SUM(Q63:Q69)</f>
        <v>12.25</v>
      </c>
      <c r="R70" s="203">
        <f>SUM(R63:R69)</f>
        <v>0</v>
      </c>
      <c r="S70" s="312"/>
      <c r="T70" s="204">
        <f>SUM(T63:T69)</f>
        <v>0</v>
      </c>
      <c r="U70" s="204">
        <f>SUM(U63:U69)</f>
        <v>15291.752</v>
      </c>
    </row>
    <row r="71" spans="1:21" s="4" customFormat="1" ht="15" customHeight="1">
      <c r="A71" s="1027" t="s">
        <v>71</v>
      </c>
      <c r="B71" s="1027"/>
      <c r="C71" s="87"/>
      <c r="D71" s="365"/>
      <c r="E71" s="314"/>
      <c r="F71" s="314"/>
      <c r="G71" s="314"/>
      <c r="H71" s="314"/>
      <c r="I71" s="315"/>
      <c r="J71" s="314"/>
      <c r="K71" s="314"/>
      <c r="L71" s="199"/>
      <c r="M71" s="315"/>
      <c r="N71" s="315"/>
      <c r="O71" s="199"/>
      <c r="P71" s="199"/>
      <c r="Q71" s="199"/>
      <c r="R71" s="199"/>
      <c r="S71" s="315"/>
      <c r="T71" s="103"/>
      <c r="U71" s="103"/>
    </row>
    <row r="72" spans="1:21" s="4" customFormat="1" ht="57" customHeight="1">
      <c r="A72" s="39" t="s">
        <v>332</v>
      </c>
      <c r="B72" s="39" t="s">
        <v>333</v>
      </c>
      <c r="C72" s="39" t="s">
        <v>213</v>
      </c>
      <c r="D72" s="115" t="s">
        <v>36</v>
      </c>
      <c r="E72" s="115" t="s">
        <v>73</v>
      </c>
      <c r="F72" s="115" t="s">
        <v>74</v>
      </c>
      <c r="G72" s="115" t="s">
        <v>37</v>
      </c>
      <c r="H72" s="115" t="s">
        <v>38</v>
      </c>
      <c r="I72" s="115" t="s">
        <v>15</v>
      </c>
      <c r="J72" s="115" t="s">
        <v>214</v>
      </c>
      <c r="K72" s="115" t="s">
        <v>39</v>
      </c>
      <c r="L72" s="115" t="s">
        <v>84</v>
      </c>
      <c r="M72" s="360" t="s">
        <v>259</v>
      </c>
      <c r="N72" s="594" t="s">
        <v>40</v>
      </c>
      <c r="O72" s="360" t="s">
        <v>238</v>
      </c>
      <c r="P72" s="360" t="s">
        <v>239</v>
      </c>
      <c r="Q72" s="360" t="s">
        <v>242</v>
      </c>
      <c r="R72" s="360" t="s">
        <v>240</v>
      </c>
      <c r="S72" s="594" t="s">
        <v>40</v>
      </c>
      <c r="T72" s="360" t="s">
        <v>241</v>
      </c>
      <c r="U72" s="595" t="s">
        <v>58</v>
      </c>
    </row>
    <row r="73" spans="1:21" s="111" customFormat="1" ht="15" customHeight="1">
      <c r="A73" s="791"/>
      <c r="B73" s="791"/>
      <c r="C73" s="792"/>
      <c r="D73" s="1">
        <v>1</v>
      </c>
      <c r="E73" s="77">
        <v>1</v>
      </c>
      <c r="F73" s="77"/>
      <c r="G73" s="77">
        <v>1</v>
      </c>
      <c r="H73" s="77"/>
      <c r="I73" s="22" t="s">
        <v>212</v>
      </c>
      <c r="J73" s="222" t="s">
        <v>212</v>
      </c>
      <c r="K73" s="15">
        <v>1997</v>
      </c>
      <c r="L73" s="1" t="s">
        <v>366</v>
      </c>
      <c r="M73" s="198">
        <v>166.75</v>
      </c>
      <c r="N73" s="195">
        <v>20.384</v>
      </c>
      <c r="O73" s="340">
        <f>M73*N73</f>
        <v>3399.032</v>
      </c>
      <c r="P73" s="340">
        <v>172.28</v>
      </c>
      <c r="Q73" s="340">
        <v>0</v>
      </c>
      <c r="R73" s="198">
        <v>52</v>
      </c>
      <c r="S73" s="195">
        <v>23.76</v>
      </c>
      <c r="T73" s="340">
        <f>R73*S73</f>
        <v>1235.52</v>
      </c>
      <c r="U73" s="338">
        <f>T73+P73+O73</f>
        <v>4806.832</v>
      </c>
    </row>
    <row r="74" spans="1:21" s="111" customFormat="1" ht="15" customHeight="1">
      <c r="A74" s="769" t="s">
        <v>51</v>
      </c>
      <c r="B74" s="296"/>
      <c r="C74" s="279"/>
      <c r="D74" s="305"/>
      <c r="E74" s="305"/>
      <c r="F74" s="305"/>
      <c r="G74" s="305"/>
      <c r="H74" s="305"/>
      <c r="I74" s="335"/>
      <c r="J74" s="305"/>
      <c r="K74" s="305"/>
      <c r="L74" s="198"/>
      <c r="M74" s="198"/>
      <c r="N74" s="195"/>
      <c r="O74" s="340"/>
      <c r="P74" s="340"/>
      <c r="Q74" s="340"/>
      <c r="R74" s="198"/>
      <c r="S74" s="340"/>
      <c r="T74" s="340"/>
      <c r="U74" s="338">
        <f>321.31*4-T75</f>
        <v>49.72000000000003</v>
      </c>
    </row>
    <row r="75" spans="1:21" s="215" customFormat="1" ht="15" customHeight="1">
      <c r="A75" s="1035" t="s">
        <v>22</v>
      </c>
      <c r="B75" s="1035"/>
      <c r="C75" s="362"/>
      <c r="D75" s="104">
        <v>1</v>
      </c>
      <c r="E75" s="205">
        <f>SUM(E73:E73)</f>
        <v>1</v>
      </c>
      <c r="F75" s="205">
        <f>SUM(F73:F73)</f>
        <v>0</v>
      </c>
      <c r="G75" s="205">
        <f>SUM(G73:G73)</f>
        <v>1</v>
      </c>
      <c r="H75" s="205">
        <f>SUM(H73:H73)</f>
        <v>0</v>
      </c>
      <c r="I75" s="319"/>
      <c r="J75" s="207"/>
      <c r="K75" s="207"/>
      <c r="L75" s="214"/>
      <c r="M75" s="203">
        <f>SUM(M73:M73)</f>
        <v>166.75</v>
      </c>
      <c r="N75" s="319"/>
      <c r="O75" s="204">
        <f>SUM(O73:O73)</f>
        <v>3399.032</v>
      </c>
      <c r="P75" s="204">
        <f>SUM(P73:P74)</f>
        <v>172.28</v>
      </c>
      <c r="Q75" s="204">
        <f>SUM(Q73:Q74)</f>
        <v>0</v>
      </c>
      <c r="R75" s="214">
        <f>SUM(R73:R74)</f>
        <v>52</v>
      </c>
      <c r="S75" s="319"/>
      <c r="T75" s="204">
        <f>SUM(T73:T73)</f>
        <v>1235.52</v>
      </c>
      <c r="U75" s="204">
        <f>SUM(U73:U74)</f>
        <v>4856.552000000001</v>
      </c>
    </row>
    <row r="76" spans="1:21" s="4" customFormat="1" ht="15" customHeight="1">
      <c r="A76" s="1027" t="s">
        <v>72</v>
      </c>
      <c r="B76" s="1027"/>
      <c r="C76" s="87"/>
      <c r="D76" s="365"/>
      <c r="E76" s="314"/>
      <c r="F76" s="314"/>
      <c r="G76" s="314"/>
      <c r="H76" s="314"/>
      <c r="I76" s="315"/>
      <c r="J76" s="314"/>
      <c r="K76" s="314"/>
      <c r="L76" s="199"/>
      <c r="M76" s="315"/>
      <c r="N76" s="315"/>
      <c r="O76" s="199"/>
      <c r="P76" s="199"/>
      <c r="Q76" s="199"/>
      <c r="R76" s="199"/>
      <c r="S76" s="315"/>
      <c r="T76" s="103"/>
      <c r="U76" s="103"/>
    </row>
    <row r="77" spans="1:21" s="4" customFormat="1" ht="57" customHeight="1">
      <c r="A77" s="39" t="s">
        <v>332</v>
      </c>
      <c r="B77" s="39" t="s">
        <v>333</v>
      </c>
      <c r="C77" s="39" t="s">
        <v>213</v>
      </c>
      <c r="D77" s="115" t="s">
        <v>36</v>
      </c>
      <c r="E77" s="115" t="s">
        <v>73</v>
      </c>
      <c r="F77" s="115" t="s">
        <v>74</v>
      </c>
      <c r="G77" s="115" t="s">
        <v>37</v>
      </c>
      <c r="H77" s="115" t="s">
        <v>38</v>
      </c>
      <c r="I77" s="115" t="s">
        <v>15</v>
      </c>
      <c r="J77" s="115" t="s">
        <v>214</v>
      </c>
      <c r="K77" s="115" t="s">
        <v>39</v>
      </c>
      <c r="L77" s="115" t="s">
        <v>84</v>
      </c>
      <c r="M77" s="360" t="s">
        <v>259</v>
      </c>
      <c r="N77" s="594" t="s">
        <v>40</v>
      </c>
      <c r="O77" s="360" t="s">
        <v>238</v>
      </c>
      <c r="P77" s="360" t="s">
        <v>239</v>
      </c>
      <c r="Q77" s="360" t="s">
        <v>242</v>
      </c>
      <c r="R77" s="360" t="s">
        <v>240</v>
      </c>
      <c r="S77" s="594" t="s">
        <v>40</v>
      </c>
      <c r="T77" s="360" t="s">
        <v>504</v>
      </c>
      <c r="U77" s="595" t="s">
        <v>58</v>
      </c>
    </row>
    <row r="78" spans="1:21" s="317" customFormat="1" ht="15" customHeight="1">
      <c r="A78" s="791"/>
      <c r="B78" s="791"/>
      <c r="C78" s="792"/>
      <c r="D78" s="1">
        <v>1</v>
      </c>
      <c r="E78" s="22">
        <v>1</v>
      </c>
      <c r="F78" s="22"/>
      <c r="G78" s="22">
        <v>1</v>
      </c>
      <c r="H78" s="22"/>
      <c r="I78" s="22" t="s">
        <v>212</v>
      </c>
      <c r="J78" s="22" t="s">
        <v>212</v>
      </c>
      <c r="K78" s="22">
        <v>1999</v>
      </c>
      <c r="L78" s="22" t="s">
        <v>53</v>
      </c>
      <c r="M78" s="198">
        <v>0</v>
      </c>
      <c r="N78" s="195">
        <v>19.812</v>
      </c>
      <c r="O78" s="195">
        <f>M78*N78</f>
        <v>0</v>
      </c>
      <c r="P78" s="145">
        <v>0</v>
      </c>
      <c r="Q78" s="145">
        <v>0</v>
      </c>
      <c r="R78" s="181">
        <v>18</v>
      </c>
      <c r="S78" s="195">
        <v>23.76</v>
      </c>
      <c r="T78" s="195">
        <f>R78*S78</f>
        <v>427.68</v>
      </c>
      <c r="U78" s="338">
        <f>T78+Q78+P78+O78</f>
        <v>427.68</v>
      </c>
    </row>
    <row r="79" spans="1:21" s="111" customFormat="1" ht="15" customHeight="1">
      <c r="A79" s="791"/>
      <c r="B79" s="791"/>
      <c r="C79" s="792"/>
      <c r="D79" s="1">
        <v>1</v>
      </c>
      <c r="E79" s="22">
        <v>1</v>
      </c>
      <c r="F79" s="22"/>
      <c r="G79" s="22">
        <v>1</v>
      </c>
      <c r="H79" s="22"/>
      <c r="I79" s="22" t="s">
        <v>212</v>
      </c>
      <c r="J79" s="222" t="s">
        <v>212</v>
      </c>
      <c r="K79" s="15">
        <v>1997</v>
      </c>
      <c r="L79" s="22" t="s">
        <v>366</v>
      </c>
      <c r="M79" s="198">
        <v>336.5</v>
      </c>
      <c r="N79" s="195">
        <v>19.812</v>
      </c>
      <c r="O79" s="340">
        <f>M79*N79</f>
        <v>6666.738</v>
      </c>
      <c r="P79" s="145">
        <f>331.48+38.01</f>
        <v>369.49</v>
      </c>
      <c r="Q79" s="145">
        <f>91.78+167.34</f>
        <v>259.12</v>
      </c>
      <c r="R79" s="181">
        <v>55</v>
      </c>
      <c r="S79" s="195">
        <v>23.76</v>
      </c>
      <c r="T79" s="340">
        <f>R79*S79</f>
        <v>1306.8000000000002</v>
      </c>
      <c r="U79" s="338">
        <f>T79+Q79+P79+O79</f>
        <v>8602.148000000001</v>
      </c>
    </row>
    <row r="80" spans="1:21" s="215" customFormat="1" ht="15" customHeight="1">
      <c r="A80" s="1035" t="s">
        <v>328</v>
      </c>
      <c r="B80" s="1035"/>
      <c r="C80" s="362"/>
      <c r="D80" s="104">
        <v>2</v>
      </c>
      <c r="E80" s="104">
        <f>SUM(E78:E86)</f>
        <v>2</v>
      </c>
      <c r="F80" s="104">
        <f>SUM(F79:F86)</f>
        <v>0</v>
      </c>
      <c r="G80" s="104">
        <f>SUM(G78:G86)</f>
        <v>2</v>
      </c>
      <c r="H80" s="104">
        <f>SUM(H79:H86)</f>
        <v>0</v>
      </c>
      <c r="I80" s="319"/>
      <c r="J80" s="207"/>
      <c r="K80" s="207"/>
      <c r="L80" s="214"/>
      <c r="M80" s="203">
        <f>SUM(M78:M86)</f>
        <v>336.5</v>
      </c>
      <c r="N80" s="366"/>
      <c r="O80" s="204">
        <f>SUM(O79:O86)</f>
        <v>6666.738</v>
      </c>
      <c r="P80" s="204">
        <f>SUM(P79:P86)</f>
        <v>369.49</v>
      </c>
      <c r="Q80" s="204">
        <f>SUM(Q79:Q86)</f>
        <v>259.12</v>
      </c>
      <c r="R80" s="214">
        <f>SUM(R78:R86)</f>
        <v>73</v>
      </c>
      <c r="S80" s="319"/>
      <c r="T80" s="204">
        <f>SUM(T78:T86)</f>
        <v>1734.4800000000002</v>
      </c>
      <c r="U80" s="204">
        <f>SUM(U78:U86)</f>
        <v>8580.588000000002</v>
      </c>
    </row>
    <row r="81" spans="1:21" s="4" customFormat="1" ht="15" customHeight="1">
      <c r="A81" s="1027" t="s">
        <v>250</v>
      </c>
      <c r="B81" s="1027"/>
      <c r="C81" s="87"/>
      <c r="D81" s="365"/>
      <c r="E81" s="314"/>
      <c r="F81" s="314"/>
      <c r="G81" s="314"/>
      <c r="H81" s="314"/>
      <c r="I81" s="315"/>
      <c r="J81" s="314"/>
      <c r="K81" s="314"/>
      <c r="L81" s="199"/>
      <c r="M81" s="315"/>
      <c r="N81" s="315"/>
      <c r="O81" s="199"/>
      <c r="P81" s="199"/>
      <c r="Q81" s="199"/>
      <c r="R81" s="199"/>
      <c r="S81" s="315"/>
      <c r="T81" s="103"/>
      <c r="U81" s="103"/>
    </row>
    <row r="82" spans="1:21" s="426" customFormat="1" ht="15" customHeight="1">
      <c r="A82" s="791"/>
      <c r="B82" s="791"/>
      <c r="C82" s="790"/>
      <c r="D82" s="1">
        <v>1</v>
      </c>
      <c r="E82" s="22"/>
      <c r="F82" s="77">
        <v>1</v>
      </c>
      <c r="G82" s="77"/>
      <c r="H82" s="22">
        <v>1</v>
      </c>
      <c r="I82" s="21" t="s">
        <v>427</v>
      </c>
      <c r="J82" s="21"/>
      <c r="K82" s="22">
        <v>1972</v>
      </c>
      <c r="L82" s="22" t="s">
        <v>53</v>
      </c>
      <c r="M82" s="1100">
        <v>0</v>
      </c>
      <c r="N82" s="1099">
        <v>20.384</v>
      </c>
      <c r="O82" s="1098">
        <v>0</v>
      </c>
      <c r="P82" s="1098">
        <v>0</v>
      </c>
      <c r="Q82" s="1098">
        <v>0</v>
      </c>
      <c r="R82" s="1101">
        <v>72</v>
      </c>
      <c r="S82" s="1098">
        <v>23.76</v>
      </c>
      <c r="T82" s="1098">
        <f>R82*S82</f>
        <v>1710.72</v>
      </c>
      <c r="U82" s="1098">
        <v>1710.72</v>
      </c>
    </row>
    <row r="83" spans="1:21" s="426" customFormat="1" ht="15" customHeight="1">
      <c r="A83" s="802"/>
      <c r="B83" s="802"/>
      <c r="C83" s="792"/>
      <c r="D83" s="134">
        <v>1</v>
      </c>
      <c r="E83" s="77">
        <v>1</v>
      </c>
      <c r="F83" s="289"/>
      <c r="G83" s="289"/>
      <c r="H83" s="77">
        <v>1</v>
      </c>
      <c r="I83" s="222" t="s">
        <v>212</v>
      </c>
      <c r="J83" s="222" t="s">
        <v>427</v>
      </c>
      <c r="K83" s="77">
        <v>2006</v>
      </c>
      <c r="L83" s="22" t="s">
        <v>53</v>
      </c>
      <c r="M83" s="1100"/>
      <c r="N83" s="1099"/>
      <c r="O83" s="1098"/>
      <c r="P83" s="1098"/>
      <c r="Q83" s="1098"/>
      <c r="R83" s="1101"/>
      <c r="S83" s="1098"/>
      <c r="T83" s="1098"/>
      <c r="U83" s="1098"/>
    </row>
    <row r="84" spans="1:21" s="426" customFormat="1" ht="15" customHeight="1">
      <c r="A84" s="802"/>
      <c r="B84" s="802"/>
      <c r="C84" s="792"/>
      <c r="D84" s="134">
        <v>1</v>
      </c>
      <c r="E84" s="77">
        <v>1</v>
      </c>
      <c r="F84" s="289"/>
      <c r="G84" s="289"/>
      <c r="H84" s="77">
        <v>1</v>
      </c>
      <c r="I84" s="222" t="s">
        <v>212</v>
      </c>
      <c r="J84" s="222" t="s">
        <v>427</v>
      </c>
      <c r="K84" s="77">
        <v>1998</v>
      </c>
      <c r="L84" s="22" t="s">
        <v>53</v>
      </c>
      <c r="M84" s="1100"/>
      <c r="N84" s="1099"/>
      <c r="O84" s="1098"/>
      <c r="P84" s="1098"/>
      <c r="Q84" s="1098"/>
      <c r="R84" s="1101"/>
      <c r="S84" s="1098"/>
      <c r="T84" s="1098"/>
      <c r="U84" s="1098"/>
    </row>
    <row r="85" spans="1:21" s="426" customFormat="1" ht="15" customHeight="1">
      <c r="A85" s="802"/>
      <c r="B85" s="802"/>
      <c r="C85" s="792"/>
      <c r="D85" s="134">
        <v>1</v>
      </c>
      <c r="E85" s="77">
        <v>1</v>
      </c>
      <c r="F85" s="289"/>
      <c r="G85" s="289"/>
      <c r="H85" s="77">
        <v>1</v>
      </c>
      <c r="I85" s="222" t="s">
        <v>212</v>
      </c>
      <c r="J85" s="222" t="s">
        <v>427</v>
      </c>
      <c r="K85" s="77">
        <v>2002</v>
      </c>
      <c r="L85" s="22" t="s">
        <v>53</v>
      </c>
      <c r="M85" s="1100"/>
      <c r="N85" s="1099"/>
      <c r="O85" s="1098"/>
      <c r="P85" s="1098"/>
      <c r="Q85" s="1098"/>
      <c r="R85" s="1101"/>
      <c r="S85" s="1098"/>
      <c r="T85" s="1098"/>
      <c r="U85" s="1098"/>
    </row>
    <row r="86" spans="1:21" s="111" customFormat="1" ht="15" customHeight="1">
      <c r="A86" s="769" t="s">
        <v>51</v>
      </c>
      <c r="B86" s="296"/>
      <c r="C86" s="279"/>
      <c r="D86" s="305"/>
      <c r="E86" s="305"/>
      <c r="F86" s="305"/>
      <c r="G86" s="305"/>
      <c r="H86" s="305"/>
      <c r="I86" s="335"/>
      <c r="J86" s="305"/>
      <c r="K86" s="305"/>
      <c r="L86" s="198"/>
      <c r="M86" s="198"/>
      <c r="N86" s="195"/>
      <c r="O86" s="340"/>
      <c r="P86" s="340"/>
      <c r="Q86" s="340"/>
      <c r="R86" s="198"/>
      <c r="S86" s="325"/>
      <c r="T86" s="336"/>
      <c r="U86" s="338">
        <v>-1710.72</v>
      </c>
    </row>
    <row r="87" spans="1:21" s="215" customFormat="1" ht="15" customHeight="1">
      <c r="A87" s="1035" t="s">
        <v>251</v>
      </c>
      <c r="B87" s="1035"/>
      <c r="C87" s="362"/>
      <c r="D87" s="104">
        <v>4</v>
      </c>
      <c r="E87" s="205">
        <f>SUM(E83:E85)</f>
        <v>3</v>
      </c>
      <c r="F87" s="205">
        <v>1</v>
      </c>
      <c r="G87" s="104">
        <v>0</v>
      </c>
      <c r="H87" s="104">
        <v>4</v>
      </c>
      <c r="I87" s="319"/>
      <c r="J87" s="207"/>
      <c r="K87" s="207"/>
      <c r="L87" s="214"/>
      <c r="M87" s="203">
        <f>SUM(M83:M85)</f>
        <v>0</v>
      </c>
      <c r="N87" s="366"/>
      <c r="O87" s="204">
        <f>SUM(O84:O85)</f>
        <v>0</v>
      </c>
      <c r="P87" s="204">
        <f>SUM(P84:P85)</f>
        <v>0</v>
      </c>
      <c r="Q87" s="204">
        <f>SUM(Q84:Q85)</f>
        <v>0</v>
      </c>
      <c r="R87" s="214">
        <f>SUM(R82)</f>
        <v>72</v>
      </c>
      <c r="S87" s="319"/>
      <c r="T87" s="204">
        <f>SUM(T83:T85)</f>
        <v>0</v>
      </c>
      <c r="U87" s="204">
        <f>SUM(U83:U85)</f>
        <v>0</v>
      </c>
    </row>
    <row r="88" spans="1:21" s="66" customFormat="1" ht="15" customHeight="1">
      <c r="A88" s="1037" t="s">
        <v>227</v>
      </c>
      <c r="B88" s="1037"/>
      <c r="C88" s="107"/>
      <c r="D88" s="101">
        <v>48</v>
      </c>
      <c r="E88" s="101">
        <v>29</v>
      </c>
      <c r="F88" s="101">
        <v>19</v>
      </c>
      <c r="G88" s="101">
        <v>33</v>
      </c>
      <c r="H88" s="101">
        <v>15</v>
      </c>
      <c r="I88" s="150"/>
      <c r="J88" s="350"/>
      <c r="K88" s="350"/>
      <c r="L88" s="350"/>
      <c r="M88" s="217">
        <f>M80+M75+M70+M60+M56+M45+M34+M30+M7</f>
        <v>3002.25</v>
      </c>
      <c r="N88" s="363"/>
      <c r="O88" s="204"/>
      <c r="P88" s="204"/>
      <c r="Q88" s="204"/>
      <c r="R88" s="217">
        <f>R80+R75+R70+R60+R56+R45+R34+R30+R7+R82</f>
        <v>473</v>
      </c>
      <c r="S88" s="363"/>
      <c r="T88" s="204"/>
      <c r="U88" s="201">
        <f>8580.59+4856.55+15291.75+2061.48+2748.5+15661.46+1851.6+35190.59+6692.68</f>
        <v>92935.19999999998</v>
      </c>
    </row>
    <row r="89" spans="10:12" ht="12.75">
      <c r="J89" s="292"/>
      <c r="K89" s="292"/>
      <c r="L89" s="278"/>
    </row>
    <row r="90" ht="12.75">
      <c r="E90" s="491"/>
    </row>
    <row r="91" spans="3:6" ht="12.75">
      <c r="C91" s="598"/>
      <c r="D91" s="598"/>
      <c r="E91" s="599"/>
      <c r="F91" s="600"/>
    </row>
    <row r="92" spans="3:6" ht="15">
      <c r="C92" s="598"/>
      <c r="D92" s="601"/>
      <c r="E92" s="599"/>
      <c r="F92" s="600"/>
    </row>
    <row r="93" spans="3:6" ht="12.75">
      <c r="C93" s="598"/>
      <c r="D93" s="598"/>
      <c r="E93" s="599"/>
      <c r="F93" s="600"/>
    </row>
    <row r="94" spans="3:6" ht="12.75">
      <c r="C94" s="598"/>
      <c r="D94" s="598"/>
      <c r="E94" s="599"/>
      <c r="F94" s="600"/>
    </row>
    <row r="97" spans="2:3" ht="12.75">
      <c r="B97" s="492"/>
      <c r="C97" s="492"/>
    </row>
    <row r="98" ht="12.75">
      <c r="B98" s="492"/>
    </row>
  </sheetData>
  <mergeCells count="129">
    <mergeCell ref="A88:B88"/>
    <mergeCell ref="A80:B80"/>
    <mergeCell ref="A76:B76"/>
    <mergeCell ref="A81:B81"/>
    <mergeCell ref="A87:B87"/>
    <mergeCell ref="A61:B61"/>
    <mergeCell ref="A70:B70"/>
    <mergeCell ref="A71:B71"/>
    <mergeCell ref="A75:B75"/>
    <mergeCell ref="A46:B46"/>
    <mergeCell ref="A56:B56"/>
    <mergeCell ref="A57:B57"/>
    <mergeCell ref="A60:B60"/>
    <mergeCell ref="A8:B8"/>
    <mergeCell ref="A30:B30"/>
    <mergeCell ref="A35:B35"/>
    <mergeCell ref="A45:B45"/>
    <mergeCell ref="A34:B34"/>
    <mergeCell ref="A31:B31"/>
    <mergeCell ref="A43:B43"/>
    <mergeCell ref="A44:B44"/>
    <mergeCell ref="T25:T26"/>
    <mergeCell ref="U25:U26"/>
    <mergeCell ref="T22:T24"/>
    <mergeCell ref="U22:U24"/>
    <mergeCell ref="L25:L26"/>
    <mergeCell ref="M25:M26"/>
    <mergeCell ref="N25:N26"/>
    <mergeCell ref="O25:O26"/>
    <mergeCell ref="P25:P26"/>
    <mergeCell ref="Q25:Q26"/>
    <mergeCell ref="S25:S26"/>
    <mergeCell ref="R25:R26"/>
    <mergeCell ref="U17:U18"/>
    <mergeCell ref="L22:L24"/>
    <mergeCell ref="M22:M24"/>
    <mergeCell ref="N22:N24"/>
    <mergeCell ref="O22:O24"/>
    <mergeCell ref="P22:P24"/>
    <mergeCell ref="Q22:Q24"/>
    <mergeCell ref="R22:R24"/>
    <mergeCell ref="S22:S24"/>
    <mergeCell ref="U12:U13"/>
    <mergeCell ref="O12:O13"/>
    <mergeCell ref="L17:L18"/>
    <mergeCell ref="M17:M18"/>
    <mergeCell ref="N17:N18"/>
    <mergeCell ref="O17:O18"/>
    <mergeCell ref="P17:P18"/>
    <mergeCell ref="Q17:Q18"/>
    <mergeCell ref="R17:R18"/>
    <mergeCell ref="T17:T18"/>
    <mergeCell ref="Q12:Q13"/>
    <mergeCell ref="R12:R13"/>
    <mergeCell ref="S12:S13"/>
    <mergeCell ref="T12:T13"/>
    <mergeCell ref="L37:L38"/>
    <mergeCell ref="R10:R11"/>
    <mergeCell ref="T10:T11"/>
    <mergeCell ref="U10:U11"/>
    <mergeCell ref="L10:L11"/>
    <mergeCell ref="L12:L13"/>
    <mergeCell ref="M12:M13"/>
    <mergeCell ref="N12:N13"/>
    <mergeCell ref="S17:S18"/>
    <mergeCell ref="P12:P13"/>
    <mergeCell ref="A2:U2"/>
    <mergeCell ref="A1:T1"/>
    <mergeCell ref="M10:M11"/>
    <mergeCell ref="N10:N11"/>
    <mergeCell ref="O10:O11"/>
    <mergeCell ref="P10:P11"/>
    <mergeCell ref="Q10:Q11"/>
    <mergeCell ref="S10:S11"/>
    <mergeCell ref="A3:B3"/>
    <mergeCell ref="A7:B7"/>
    <mergeCell ref="U37:U38"/>
    <mergeCell ref="M37:M38"/>
    <mergeCell ref="N37:N38"/>
    <mergeCell ref="O37:O38"/>
    <mergeCell ref="P37:P38"/>
    <mergeCell ref="Q37:Q38"/>
    <mergeCell ref="R37:R38"/>
    <mergeCell ref="S37:S38"/>
    <mergeCell ref="T37:T38"/>
    <mergeCell ref="L39:L41"/>
    <mergeCell ref="M39:M41"/>
    <mergeCell ref="N39:N41"/>
    <mergeCell ref="O39:O41"/>
    <mergeCell ref="T39:T41"/>
    <mergeCell ref="U39:U41"/>
    <mergeCell ref="P39:P41"/>
    <mergeCell ref="Q39:Q41"/>
    <mergeCell ref="R39:R41"/>
    <mergeCell ref="S39:S41"/>
    <mergeCell ref="M66:M67"/>
    <mergeCell ref="N66:N67"/>
    <mergeCell ref="O66:O67"/>
    <mergeCell ref="R48:R50"/>
    <mergeCell ref="M48:M50"/>
    <mergeCell ref="N48:N50"/>
    <mergeCell ref="O48:O50"/>
    <mergeCell ref="P66:P67"/>
    <mergeCell ref="Q66:Q67"/>
    <mergeCell ref="P48:P50"/>
    <mergeCell ref="T48:T50"/>
    <mergeCell ref="U48:U50"/>
    <mergeCell ref="L51:L54"/>
    <mergeCell ref="M51:M54"/>
    <mergeCell ref="N51:N54"/>
    <mergeCell ref="O51:O54"/>
    <mergeCell ref="P51:P54"/>
    <mergeCell ref="Q51:Q54"/>
    <mergeCell ref="R51:R54"/>
    <mergeCell ref="L48:L50"/>
    <mergeCell ref="Q82:Q85"/>
    <mergeCell ref="R82:R85"/>
    <mergeCell ref="S82:S85"/>
    <mergeCell ref="S48:S50"/>
    <mergeCell ref="Q48:Q50"/>
    <mergeCell ref="M82:M85"/>
    <mergeCell ref="N82:N85"/>
    <mergeCell ref="O82:O85"/>
    <mergeCell ref="P82:P85"/>
    <mergeCell ref="T82:T85"/>
    <mergeCell ref="U82:U85"/>
    <mergeCell ref="S51:S54"/>
    <mergeCell ref="T51:T54"/>
    <mergeCell ref="U51:U5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T36"/>
  <sheetViews>
    <sheetView workbookViewId="0" topLeftCell="A4">
      <selection activeCell="I3" sqref="I3"/>
    </sheetView>
  </sheetViews>
  <sheetFormatPr defaultColWidth="9.140625" defaultRowHeight="12.75"/>
  <cols>
    <col min="1" max="1" width="40.7109375" style="24" customWidth="1"/>
    <col min="2" max="2" width="17.421875" style="54" customWidth="1"/>
    <col min="3" max="3" width="17.57421875" style="24" customWidth="1"/>
    <col min="4" max="4" width="8.8515625" style="56" customWidth="1"/>
    <col min="5" max="5" width="17.140625" style="168" customWidth="1"/>
    <col min="6" max="6" width="15.28125" style="168" customWidth="1"/>
    <col min="7" max="7" width="15.8515625" style="168" customWidth="1"/>
    <col min="8" max="8" width="14.140625" style="25" customWidth="1"/>
    <col min="9" max="9" width="11.57421875" style="25" customWidth="1"/>
    <col min="10" max="10" width="16.00390625" style="168" customWidth="1"/>
    <col min="11" max="11" width="16.00390625" style="466" customWidth="1"/>
    <col min="12" max="16384" width="11.57421875" style="54" customWidth="1"/>
  </cols>
  <sheetData>
    <row r="1" spans="1:11" s="48" customFormat="1" ht="30" customHeight="1">
      <c r="A1" s="1007" t="s">
        <v>449</v>
      </c>
      <c r="B1" s="1008"/>
      <c r="C1" s="1008"/>
      <c r="D1" s="1008"/>
      <c r="E1" s="1008"/>
      <c r="F1" s="1008"/>
      <c r="G1" s="1008"/>
      <c r="H1" s="1008"/>
      <c r="I1" s="1008"/>
      <c r="J1" s="1008"/>
      <c r="K1" s="458">
        <v>40070175</v>
      </c>
    </row>
    <row r="2" spans="1:11" s="49" customFormat="1" ht="48.75" customHeight="1">
      <c r="A2" s="1044" t="s">
        <v>43</v>
      </c>
      <c r="B2" s="1061"/>
      <c r="C2" s="1061"/>
      <c r="D2" s="1061"/>
      <c r="E2" s="1061"/>
      <c r="F2" s="1061"/>
      <c r="G2" s="1061"/>
      <c r="H2" s="1061"/>
      <c r="I2" s="1061"/>
      <c r="J2" s="1061"/>
      <c r="K2" s="1061"/>
    </row>
    <row r="3" spans="1:11" s="50" customFormat="1" ht="57.75" customHeight="1">
      <c r="A3" s="114" t="s">
        <v>56</v>
      </c>
      <c r="B3" s="16" t="s">
        <v>84</v>
      </c>
      <c r="C3" s="282" t="s">
        <v>216</v>
      </c>
      <c r="D3" s="283" t="s">
        <v>40</v>
      </c>
      <c r="E3" s="282" t="s">
        <v>238</v>
      </c>
      <c r="F3" s="360" t="s">
        <v>260</v>
      </c>
      <c r="G3" s="360" t="s">
        <v>262</v>
      </c>
      <c r="H3" s="282" t="s">
        <v>263</v>
      </c>
      <c r="I3" s="283" t="s">
        <v>40</v>
      </c>
      <c r="J3" s="282" t="s">
        <v>261</v>
      </c>
      <c r="K3" s="39" t="s">
        <v>58</v>
      </c>
    </row>
    <row r="4" spans="1:11" s="51" customFormat="1" ht="15" customHeight="1">
      <c r="A4" s="221" t="s">
        <v>66</v>
      </c>
      <c r="B4" s="57"/>
      <c r="C4" s="18"/>
      <c r="D4" s="58"/>
      <c r="E4" s="153"/>
      <c r="F4" s="153"/>
      <c r="G4" s="154"/>
      <c r="H4" s="60"/>
      <c r="I4" s="60"/>
      <c r="J4" s="154"/>
      <c r="K4" s="177"/>
    </row>
    <row r="5" spans="1:11" s="52" customFormat="1" ht="15" customHeight="1">
      <c r="A5" s="774" t="s">
        <v>465</v>
      </c>
      <c r="B5" s="34" t="s">
        <v>53</v>
      </c>
      <c r="C5" s="181">
        <v>1176.49</v>
      </c>
      <c r="D5" s="172">
        <v>20.384</v>
      </c>
      <c r="E5" s="145">
        <f>C5*D5</f>
        <v>23981.57216</v>
      </c>
      <c r="F5" s="145">
        <f>452*0.35*1.04+394*0.35*1.04+553*0.37*1.04+378*0.38*1.04+585*0.31*1.04+859*0.36*1.04+600*0.36*1.04</f>
        <v>1404.9776000000002</v>
      </c>
      <c r="G5" s="156">
        <v>728.14</v>
      </c>
      <c r="H5" s="181">
        <v>463.5</v>
      </c>
      <c r="I5" s="325">
        <f>22.85*1.04</f>
        <v>23.764000000000003</v>
      </c>
      <c r="J5" s="145">
        <f>H5*I5</f>
        <v>11014.614000000001</v>
      </c>
      <c r="K5" s="145">
        <f>J5+G5+F5+E5</f>
        <v>37129.30376</v>
      </c>
    </row>
    <row r="6" spans="1:11" s="52" customFormat="1" ht="15" customHeight="1">
      <c r="A6" s="774" t="s">
        <v>51</v>
      </c>
      <c r="B6" s="22" t="s">
        <v>53</v>
      </c>
      <c r="C6" s="182"/>
      <c r="D6" s="175"/>
      <c r="E6" s="146"/>
      <c r="F6" s="146"/>
      <c r="G6" s="176"/>
      <c r="H6" s="494"/>
      <c r="I6" s="364"/>
      <c r="J6" s="146"/>
      <c r="K6" s="146">
        <f>2636.71*4-J7</f>
        <v>-467.77400000000125</v>
      </c>
    </row>
    <row r="7" spans="1:20" s="372" customFormat="1" ht="15" customHeight="1">
      <c r="A7" s="207" t="s">
        <v>75</v>
      </c>
      <c r="B7" s="104"/>
      <c r="C7" s="104"/>
      <c r="D7" s="104"/>
      <c r="E7" s="204">
        <f>SUM(E5)</f>
        <v>23981.57216</v>
      </c>
      <c r="F7" s="204">
        <f>452*0.35*1.04+394*0.35*1.04+553*0.37*1.04+378*0.38*1.04+585*0.31*1.04+859*0.36*1.04+600*0.36*1.04</f>
        <v>1404.9776000000002</v>
      </c>
      <c r="G7" s="204">
        <f>SUM(G5:G6)</f>
        <v>728.14</v>
      </c>
      <c r="H7" s="308">
        <f>SUM(H5:H6)</f>
        <v>463.5</v>
      </c>
      <c r="I7" s="104"/>
      <c r="J7" s="204">
        <f>SUM(J5)</f>
        <v>11014.614000000001</v>
      </c>
      <c r="K7" s="204">
        <f>SUM(K5:K6)</f>
        <v>36661.529760000005</v>
      </c>
      <c r="L7" s="370"/>
      <c r="M7" s="371"/>
      <c r="N7" s="371"/>
      <c r="O7" s="371"/>
      <c r="P7" s="371"/>
      <c r="Q7" s="370"/>
      <c r="R7" s="371"/>
      <c r="S7" s="371"/>
      <c r="T7" s="371"/>
    </row>
    <row r="8" spans="1:11" s="51" customFormat="1" ht="15" customHeight="1">
      <c r="A8" s="221" t="s">
        <v>64</v>
      </c>
      <c r="B8" s="17"/>
      <c r="C8" s="179"/>
      <c r="D8" s="174"/>
      <c r="E8" s="153"/>
      <c r="F8" s="153"/>
      <c r="G8" s="154"/>
      <c r="H8" s="60"/>
      <c r="I8" s="154"/>
      <c r="J8" s="154"/>
      <c r="K8" s="177"/>
    </row>
    <row r="9" spans="1:11" ht="15" customHeight="1">
      <c r="A9" s="774" t="s">
        <v>465</v>
      </c>
      <c r="B9" s="33" t="s">
        <v>53</v>
      </c>
      <c r="C9" s="181">
        <v>1923</v>
      </c>
      <c r="D9" s="172">
        <v>20.384</v>
      </c>
      <c r="E9" s="145">
        <f>C9*D9</f>
        <v>39198.432</v>
      </c>
      <c r="F9" s="145">
        <v>3026</v>
      </c>
      <c r="G9" s="156">
        <v>2096.1</v>
      </c>
      <c r="H9" s="181">
        <v>778</v>
      </c>
      <c r="I9" s="152">
        <v>23.76</v>
      </c>
      <c r="J9" s="145">
        <f>H9*I9</f>
        <v>18485.280000000002</v>
      </c>
      <c r="K9" s="145">
        <f>J9+G9+F9+E9</f>
        <v>62805.812000000005</v>
      </c>
    </row>
    <row r="10" spans="1:11" s="52" customFormat="1" ht="15" customHeight="1">
      <c r="A10" s="774" t="s">
        <v>51</v>
      </c>
      <c r="B10" s="22" t="s">
        <v>53</v>
      </c>
      <c r="C10" s="182"/>
      <c r="D10" s="175"/>
      <c r="E10" s="146"/>
      <c r="F10" s="146"/>
      <c r="G10" s="176"/>
      <c r="H10" s="494"/>
      <c r="I10" s="364"/>
      <c r="J10" s="146"/>
      <c r="K10" s="146">
        <f>4394.52*4-J11</f>
        <v>-907.2000000000007</v>
      </c>
    </row>
    <row r="11" spans="1:20" s="372" customFormat="1" ht="15" customHeight="1">
      <c r="A11" s="361" t="s">
        <v>8</v>
      </c>
      <c r="B11" s="104"/>
      <c r="C11" s="104"/>
      <c r="D11" s="104"/>
      <c r="E11" s="204">
        <f>SUM(E9)</f>
        <v>39198.432</v>
      </c>
      <c r="F11" s="204">
        <f>SUM(F9:F10)</f>
        <v>3026</v>
      </c>
      <c r="G11" s="204">
        <f>SUM(G9:G10)</f>
        <v>2096.1</v>
      </c>
      <c r="H11" s="308">
        <f>SUM(H9:H9)</f>
        <v>778</v>
      </c>
      <c r="I11" s="104"/>
      <c r="J11" s="204">
        <f>SUM(J9)</f>
        <v>18485.280000000002</v>
      </c>
      <c r="K11" s="204">
        <f>SUM(K9:K10)</f>
        <v>61898.61200000001</v>
      </c>
      <c r="L11" s="370"/>
      <c r="M11" s="371"/>
      <c r="N11" s="371"/>
      <c r="O11" s="371"/>
      <c r="P11" s="371"/>
      <c r="Q11" s="370"/>
      <c r="R11" s="371"/>
      <c r="S11" s="371"/>
      <c r="T11" s="371"/>
    </row>
    <row r="12" spans="1:20" s="372" customFormat="1" ht="15" customHeight="1">
      <c r="A12" s="221" t="s">
        <v>67</v>
      </c>
      <c r="B12" s="17"/>
      <c r="C12" s="179"/>
      <c r="D12" s="174"/>
      <c r="E12" s="153"/>
      <c r="F12" s="153"/>
      <c r="G12" s="154"/>
      <c r="H12" s="60"/>
      <c r="I12" s="154"/>
      <c r="J12" s="154"/>
      <c r="K12" s="177"/>
      <c r="L12" s="370"/>
      <c r="M12" s="371"/>
      <c r="N12" s="371"/>
      <c r="O12" s="371"/>
      <c r="P12" s="371"/>
      <c r="Q12" s="370"/>
      <c r="R12" s="371"/>
      <c r="S12" s="371"/>
      <c r="T12" s="371"/>
    </row>
    <row r="13" spans="1:20" s="372" customFormat="1" ht="15" customHeight="1">
      <c r="A13" s="361" t="s">
        <v>95</v>
      </c>
      <c r="B13" s="625"/>
      <c r="C13" s="104">
        <v>0</v>
      </c>
      <c r="D13" s="625"/>
      <c r="E13" s="339">
        <v>0</v>
      </c>
      <c r="F13" s="339">
        <v>0</v>
      </c>
      <c r="G13" s="339">
        <v>0</v>
      </c>
      <c r="H13" s="308">
        <v>0</v>
      </c>
      <c r="I13" s="625"/>
      <c r="J13" s="339">
        <v>0</v>
      </c>
      <c r="K13" s="339">
        <v>0</v>
      </c>
      <c r="L13" s="370"/>
      <c r="M13" s="371"/>
      <c r="N13" s="371"/>
      <c r="O13" s="371"/>
      <c r="P13" s="371"/>
      <c r="Q13" s="370"/>
      <c r="R13" s="371"/>
      <c r="S13" s="371"/>
      <c r="T13" s="371"/>
    </row>
    <row r="14" spans="1:11" s="51" customFormat="1" ht="15" customHeight="1">
      <c r="A14" s="221" t="s">
        <v>68</v>
      </c>
      <c r="B14" s="17"/>
      <c r="C14" s="179"/>
      <c r="D14" s="174"/>
      <c r="E14" s="153"/>
      <c r="F14" s="153"/>
      <c r="G14" s="154"/>
      <c r="H14" s="60"/>
      <c r="I14" s="154"/>
      <c r="J14" s="154"/>
      <c r="K14" s="177"/>
    </row>
    <row r="15" spans="1:11" ht="15" customHeight="1">
      <c r="A15" s="774" t="s">
        <v>465</v>
      </c>
      <c r="B15" s="33" t="s">
        <v>53</v>
      </c>
      <c r="C15" s="178">
        <v>909</v>
      </c>
      <c r="D15" s="171">
        <v>20.384</v>
      </c>
      <c r="E15" s="151">
        <f>C15*D15</f>
        <v>18529.056</v>
      </c>
      <c r="F15" s="151">
        <v>1019.64</v>
      </c>
      <c r="G15" s="152">
        <v>811.5</v>
      </c>
      <c r="H15" s="181">
        <v>336.5</v>
      </c>
      <c r="I15" s="152">
        <v>23.76</v>
      </c>
      <c r="J15" s="152">
        <f>H15*I15</f>
        <v>7995.240000000001</v>
      </c>
      <c r="K15" s="145">
        <f>J15+G15+F15+E15</f>
        <v>28355.436</v>
      </c>
    </row>
    <row r="16" spans="1:11" ht="15" customHeight="1">
      <c r="A16" s="774" t="s">
        <v>51</v>
      </c>
      <c r="B16" s="22" t="s">
        <v>53</v>
      </c>
      <c r="C16" s="178"/>
      <c r="D16" s="171"/>
      <c r="E16" s="151"/>
      <c r="F16" s="151"/>
      <c r="G16" s="152"/>
      <c r="H16" s="495"/>
      <c r="I16" s="152"/>
      <c r="J16" s="152"/>
      <c r="K16" s="151">
        <f>7617.16-J15</f>
        <v>-378.08000000000084</v>
      </c>
    </row>
    <row r="17" spans="1:11" ht="15" customHeight="1">
      <c r="A17" s="361" t="s">
        <v>478</v>
      </c>
      <c r="B17" s="159"/>
      <c r="C17" s="373"/>
      <c r="D17" s="374"/>
      <c r="E17" s="204">
        <f>SUM(E15)</f>
        <v>18529.056</v>
      </c>
      <c r="F17" s="204">
        <f>SUM(F15:F16)</f>
        <v>1019.64</v>
      </c>
      <c r="G17" s="204">
        <f>SUM(G15:G16)</f>
        <v>811.5</v>
      </c>
      <c r="H17" s="496"/>
      <c r="I17" s="375"/>
      <c r="J17" s="204">
        <f>SUM(J15:J16)</f>
        <v>7995.240000000001</v>
      </c>
      <c r="K17" s="204">
        <f>SUM(K15:K16)</f>
        <v>27977.356</v>
      </c>
    </row>
    <row r="18" spans="1:11" s="51" customFormat="1" ht="15" customHeight="1">
      <c r="A18" s="221" t="s">
        <v>65</v>
      </c>
      <c r="B18" s="57"/>
      <c r="C18" s="179"/>
      <c r="D18" s="174"/>
      <c r="E18" s="153"/>
      <c r="F18" s="153"/>
      <c r="G18" s="493"/>
      <c r="H18" s="60"/>
      <c r="I18" s="154"/>
      <c r="J18" s="154"/>
      <c r="K18" s="177"/>
    </row>
    <row r="19" spans="1:11" ht="15" customHeight="1">
      <c r="A19" s="774" t="s">
        <v>465</v>
      </c>
      <c r="B19" s="33" t="s">
        <v>53</v>
      </c>
      <c r="C19" s="178">
        <v>1308.5</v>
      </c>
      <c r="D19" s="184">
        <v>20.384</v>
      </c>
      <c r="E19" s="151">
        <f>C19*D19</f>
        <v>26672.464</v>
      </c>
      <c r="F19" s="151">
        <v>1525.76</v>
      </c>
      <c r="G19" s="152">
        <v>1211.52</v>
      </c>
      <c r="H19" s="181">
        <v>446.25</v>
      </c>
      <c r="I19" s="152">
        <v>23.76</v>
      </c>
      <c r="J19" s="152">
        <f>H19*I19</f>
        <v>10602.900000000001</v>
      </c>
      <c r="K19" s="145">
        <f>J19+G19+F19+E19</f>
        <v>40012.644</v>
      </c>
    </row>
    <row r="20" spans="1:11" ht="15" customHeight="1">
      <c r="A20" s="774" t="s">
        <v>51</v>
      </c>
      <c r="B20" s="22" t="s">
        <v>53</v>
      </c>
      <c r="C20" s="178"/>
      <c r="D20" s="171"/>
      <c r="E20" s="151"/>
      <c r="F20" s="151"/>
      <c r="G20" s="152"/>
      <c r="H20" s="495"/>
      <c r="I20" s="152"/>
      <c r="J20" s="152"/>
      <c r="K20" s="151">
        <f>13183.56-J21</f>
        <v>2580.659999999998</v>
      </c>
    </row>
    <row r="21" spans="1:11" ht="15" customHeight="1">
      <c r="A21" s="361" t="s">
        <v>340</v>
      </c>
      <c r="B21" s="159"/>
      <c r="C21" s="373"/>
      <c r="D21" s="374"/>
      <c r="E21" s="204">
        <f>SUM(E19)</f>
        <v>26672.464</v>
      </c>
      <c r="F21" s="204">
        <f>SUM(F19:F20)</f>
        <v>1525.76</v>
      </c>
      <c r="G21" s="204">
        <f>SUM(G19:G20)</f>
        <v>1211.52</v>
      </c>
      <c r="H21" s="496"/>
      <c r="I21" s="375"/>
      <c r="J21" s="204">
        <f>SUM(J19:J20)</f>
        <v>10602.900000000001</v>
      </c>
      <c r="K21" s="204">
        <f>SUM(K19:K20)</f>
        <v>42593.304</v>
      </c>
    </row>
    <row r="22" spans="1:11" s="51" customFormat="1" ht="15" customHeight="1">
      <c r="A22" s="221" t="s">
        <v>69</v>
      </c>
      <c r="B22" s="17"/>
      <c r="C22" s="179"/>
      <c r="D22" s="174"/>
      <c r="E22" s="153"/>
      <c r="F22" s="153"/>
      <c r="G22" s="154"/>
      <c r="H22" s="60"/>
      <c r="I22" s="154"/>
      <c r="J22" s="154"/>
      <c r="K22" s="177"/>
    </row>
    <row r="23" spans="1:11" s="52" customFormat="1" ht="15" customHeight="1">
      <c r="A23" s="774" t="s">
        <v>465</v>
      </c>
      <c r="B23" s="33" t="s">
        <v>53</v>
      </c>
      <c r="C23" s="178">
        <v>708</v>
      </c>
      <c r="D23" s="171">
        <v>20.384</v>
      </c>
      <c r="E23" s="151">
        <f>C23*D23</f>
        <v>14431.872</v>
      </c>
      <c r="F23" s="151">
        <v>1043.97</v>
      </c>
      <c r="G23" s="152">
        <v>587.8</v>
      </c>
      <c r="H23" s="181">
        <v>311</v>
      </c>
      <c r="I23" s="152">
        <v>23.76</v>
      </c>
      <c r="J23" s="152">
        <f>H23*I23</f>
        <v>7389.360000000001</v>
      </c>
      <c r="K23" s="145">
        <f>J23+G23+F23+E23</f>
        <v>23453.002</v>
      </c>
    </row>
    <row r="24" spans="1:11" ht="15" customHeight="1">
      <c r="A24" s="774" t="s">
        <v>51</v>
      </c>
      <c r="B24" s="22" t="s">
        <v>53</v>
      </c>
      <c r="C24" s="178"/>
      <c r="D24" s="171"/>
      <c r="E24" s="151"/>
      <c r="F24" s="151"/>
      <c r="G24" s="152"/>
      <c r="H24" s="495"/>
      <c r="I24" s="152"/>
      <c r="J24" s="152"/>
      <c r="K24" s="151">
        <f>5859.36-J25</f>
        <v>-1530.000000000001</v>
      </c>
    </row>
    <row r="25" spans="1:11" ht="15" customHeight="1">
      <c r="A25" s="361" t="s">
        <v>13</v>
      </c>
      <c r="B25" s="159"/>
      <c r="C25" s="373"/>
      <c r="D25" s="374"/>
      <c r="E25" s="204">
        <f>SUM(E23)</f>
        <v>14431.872</v>
      </c>
      <c r="F25" s="204">
        <f>SUM(F23:F24)</f>
        <v>1043.97</v>
      </c>
      <c r="G25" s="204">
        <f>SUM(G23:G24)</f>
        <v>587.8</v>
      </c>
      <c r="H25" s="496"/>
      <c r="I25" s="375"/>
      <c r="J25" s="204">
        <f>SUM(J23:J24)</f>
        <v>7389.360000000001</v>
      </c>
      <c r="K25" s="204">
        <f>SUM(K23:K24)</f>
        <v>21923.002</v>
      </c>
    </row>
    <row r="26" spans="1:11" s="51" customFormat="1" ht="15" customHeight="1">
      <c r="A26" s="221" t="s">
        <v>70</v>
      </c>
      <c r="B26" s="17"/>
      <c r="C26" s="179"/>
      <c r="D26" s="174"/>
      <c r="E26" s="153"/>
      <c r="F26" s="153"/>
      <c r="G26" s="154"/>
      <c r="H26" s="60"/>
      <c r="I26" s="154"/>
      <c r="J26" s="154"/>
      <c r="K26" s="177"/>
    </row>
    <row r="27" spans="1:11" ht="15" customHeight="1">
      <c r="A27" s="774" t="s">
        <v>465</v>
      </c>
      <c r="B27" s="33" t="s">
        <v>53</v>
      </c>
      <c r="C27" s="178">
        <v>1059.5</v>
      </c>
      <c r="D27" s="171">
        <v>20.384</v>
      </c>
      <c r="E27" s="151">
        <f>C27*D27</f>
        <v>21596.848</v>
      </c>
      <c r="F27" s="151">
        <v>1482.41</v>
      </c>
      <c r="G27" s="152">
        <v>1360.7</v>
      </c>
      <c r="H27" s="181">
        <v>481</v>
      </c>
      <c r="I27" s="152">
        <v>23.76</v>
      </c>
      <c r="J27" s="145">
        <f>H27*I27</f>
        <v>11428.560000000001</v>
      </c>
      <c r="K27" s="145">
        <f>J27+G27+F27+E27</f>
        <v>35868.518000000004</v>
      </c>
    </row>
    <row r="28" spans="1:11" ht="15" customHeight="1">
      <c r="A28" s="774" t="s">
        <v>51</v>
      </c>
      <c r="B28" s="22" t="s">
        <v>53</v>
      </c>
      <c r="C28" s="178"/>
      <c r="D28" s="171"/>
      <c r="E28" s="151"/>
      <c r="F28" s="151"/>
      <c r="G28" s="152"/>
      <c r="H28" s="495"/>
      <c r="I28" s="152"/>
      <c r="J28" s="152"/>
      <c r="K28" s="151">
        <f>11718.72-J29</f>
        <v>290.15999999999804</v>
      </c>
    </row>
    <row r="29" spans="1:11" ht="15" customHeight="1">
      <c r="A29" s="361" t="s">
        <v>341</v>
      </c>
      <c r="B29" s="159"/>
      <c r="C29" s="373"/>
      <c r="D29" s="374"/>
      <c r="E29" s="204">
        <f>SUM(E27)</f>
        <v>21596.848</v>
      </c>
      <c r="F29" s="204">
        <f>SUM(F27:F28)</f>
        <v>1482.41</v>
      </c>
      <c r="G29" s="204">
        <f>SUM(G27:G28)</f>
        <v>1360.7</v>
      </c>
      <c r="H29" s="496"/>
      <c r="I29" s="375"/>
      <c r="J29" s="204">
        <f>SUM(J27:J28)</f>
        <v>11428.560000000001</v>
      </c>
      <c r="K29" s="204">
        <f>SUM(K27:K28)</f>
        <v>36158.678</v>
      </c>
    </row>
    <row r="30" spans="1:11" s="51" customFormat="1" ht="15" customHeight="1">
      <c r="A30" s="221" t="s">
        <v>71</v>
      </c>
      <c r="B30" s="17"/>
      <c r="C30" s="179"/>
      <c r="D30" s="174"/>
      <c r="E30" s="153"/>
      <c r="F30" s="153"/>
      <c r="G30" s="154"/>
      <c r="H30" s="60"/>
      <c r="I30" s="154"/>
      <c r="J30" s="154"/>
      <c r="K30" s="177"/>
    </row>
    <row r="31" spans="1:11" s="53" customFormat="1" ht="15" customHeight="1">
      <c r="A31" s="774" t="s">
        <v>465</v>
      </c>
      <c r="B31" s="33" t="s">
        <v>53</v>
      </c>
      <c r="C31" s="185">
        <v>631</v>
      </c>
      <c r="D31" s="175">
        <v>20.384</v>
      </c>
      <c r="E31" s="146">
        <f>C31*D31</f>
        <v>12862.304</v>
      </c>
      <c r="F31" s="146">
        <v>1484.38</v>
      </c>
      <c r="G31" s="176">
        <v>734.76</v>
      </c>
      <c r="H31" s="185">
        <v>234</v>
      </c>
      <c r="I31" s="152">
        <v>23.76</v>
      </c>
      <c r="J31" s="145">
        <f>H31*I31</f>
        <v>5559.84</v>
      </c>
      <c r="K31" s="145">
        <f>J31+G31+F31+E31</f>
        <v>20641.284</v>
      </c>
    </row>
    <row r="32" spans="1:11" ht="15" customHeight="1">
      <c r="A32" s="774" t="s">
        <v>51</v>
      </c>
      <c r="B32" s="22" t="s">
        <v>53</v>
      </c>
      <c r="C32" s="178"/>
      <c r="D32" s="171"/>
      <c r="E32" s="151"/>
      <c r="F32" s="151"/>
      <c r="G32" s="152"/>
      <c r="H32" s="495"/>
      <c r="I32" s="152"/>
      <c r="J32" s="152"/>
      <c r="K32" s="151">
        <f>5273.44-J33</f>
        <v>-286.40000000000055</v>
      </c>
    </row>
    <row r="33" spans="1:11" ht="15" customHeight="1">
      <c r="A33" s="361" t="s">
        <v>154</v>
      </c>
      <c r="B33" s="159"/>
      <c r="C33" s="373"/>
      <c r="D33" s="374"/>
      <c r="E33" s="204">
        <f>SUM(E31)</f>
        <v>12862.304</v>
      </c>
      <c r="F33" s="204">
        <f>SUM(F31:F32)</f>
        <v>1484.38</v>
      </c>
      <c r="G33" s="204">
        <f>SUM(G31:G32)</f>
        <v>734.76</v>
      </c>
      <c r="H33" s="496"/>
      <c r="I33" s="375"/>
      <c r="J33" s="204">
        <f>SUM(J31:J32)</f>
        <v>5559.84</v>
      </c>
      <c r="K33" s="204">
        <f>SUM(K31:K32)</f>
        <v>20354.884</v>
      </c>
    </row>
    <row r="34" spans="1:11" ht="15" customHeight="1">
      <c r="A34" s="221" t="s">
        <v>72</v>
      </c>
      <c r="B34" s="17"/>
      <c r="C34" s="179"/>
      <c r="D34" s="174"/>
      <c r="E34" s="153"/>
      <c r="F34" s="153"/>
      <c r="G34" s="154"/>
      <c r="H34" s="60"/>
      <c r="I34" s="154"/>
      <c r="J34" s="154"/>
      <c r="K34" s="177"/>
    </row>
    <row r="35" spans="1:11" ht="15" customHeight="1">
      <c r="A35" s="361" t="s">
        <v>328</v>
      </c>
      <c r="B35" s="625"/>
      <c r="C35" s="104">
        <v>0</v>
      </c>
      <c r="D35" s="625"/>
      <c r="E35" s="204">
        <v>0</v>
      </c>
      <c r="F35" s="204">
        <v>0</v>
      </c>
      <c r="G35" s="204">
        <v>0</v>
      </c>
      <c r="H35" s="308">
        <v>0</v>
      </c>
      <c r="I35" s="626"/>
      <c r="J35" s="204">
        <v>0</v>
      </c>
      <c r="K35" s="204">
        <v>0</v>
      </c>
    </row>
    <row r="36" spans="1:11" s="66" customFormat="1" ht="15" customHeight="1">
      <c r="A36" s="100" t="s">
        <v>227</v>
      </c>
      <c r="B36" s="106"/>
      <c r="C36" s="183">
        <f>C31+C27+C23+C19+C15+C9+C5</f>
        <v>7715.49</v>
      </c>
      <c r="D36" s="124"/>
      <c r="E36" s="149"/>
      <c r="F36" s="149"/>
      <c r="G36" s="149"/>
      <c r="H36" s="183">
        <f>H31+H27+H23+H19+H15+H9+H5</f>
        <v>3050.25</v>
      </c>
      <c r="I36" s="149"/>
      <c r="J36" s="149"/>
      <c r="K36" s="150">
        <f>K33+K29+K25+K21+K17+K11+K7</f>
        <v>247567.36576000002</v>
      </c>
    </row>
  </sheetData>
  <mergeCells count="2">
    <mergeCell ref="A2:K2"/>
    <mergeCell ref="A1:J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M10"/>
  <sheetViews>
    <sheetView workbookViewId="0" topLeftCell="A1">
      <selection activeCell="J23" sqref="J23"/>
    </sheetView>
  </sheetViews>
  <sheetFormatPr defaultColWidth="9.140625" defaultRowHeight="12.75"/>
  <cols>
    <col min="1" max="1" width="46.28125" style="20" bestFit="1" customWidth="1"/>
    <col min="2" max="2" width="7.7109375" style="20" customWidth="1"/>
    <col min="3" max="4" width="5.7109375" style="20" customWidth="1"/>
    <col min="5" max="5" width="9.57421875" style="20" customWidth="1"/>
    <col min="6" max="6" width="9.7109375" style="20" customWidth="1"/>
    <col min="7" max="7" width="10.57421875" style="20" customWidth="1"/>
    <col min="8" max="8" width="11.140625" style="20" customWidth="1"/>
    <col min="9" max="9" width="11.421875" style="20" customWidth="1"/>
    <col min="10" max="10" width="16.421875" style="497" customWidth="1"/>
    <col min="11" max="11" width="30.7109375" style="20" customWidth="1"/>
    <col min="12" max="12" width="25.7109375" style="506" customWidth="1"/>
    <col min="13" max="13" width="9.140625" style="506" customWidth="1"/>
    <col min="14" max="16384" width="9.140625" style="20" customWidth="1"/>
  </cols>
  <sheetData>
    <row r="1" spans="1:12" ht="30" customHeight="1">
      <c r="A1" s="1007" t="s">
        <v>433</v>
      </c>
      <c r="B1" s="1008"/>
      <c r="C1" s="1008"/>
      <c r="D1" s="1008"/>
      <c r="E1" s="1008"/>
      <c r="F1" s="1008"/>
      <c r="G1" s="1008"/>
      <c r="H1" s="1008"/>
      <c r="I1" s="1008"/>
      <c r="J1" s="1008"/>
      <c r="K1" s="542">
        <v>40071123</v>
      </c>
      <c r="L1" s="540"/>
    </row>
    <row r="2" spans="1:11" ht="50.25" customHeight="1">
      <c r="A2" s="1004" t="s">
        <v>434</v>
      </c>
      <c r="B2" s="1005"/>
      <c r="C2" s="1005"/>
      <c r="D2" s="1005"/>
      <c r="E2" s="1005"/>
      <c r="F2" s="1005"/>
      <c r="G2" s="1005"/>
      <c r="H2" s="1005"/>
      <c r="I2" s="1005"/>
      <c r="J2" s="1005"/>
      <c r="K2" s="1006"/>
    </row>
    <row r="3" spans="1:11" ht="37.5" customHeight="1">
      <c r="A3" s="39" t="s">
        <v>435</v>
      </c>
      <c r="B3" s="115" t="s">
        <v>36</v>
      </c>
      <c r="C3" s="115" t="s">
        <v>73</v>
      </c>
      <c r="D3" s="115" t="s">
        <v>74</v>
      </c>
      <c r="E3" s="115" t="s">
        <v>37</v>
      </c>
      <c r="F3" s="115" t="s">
        <v>38</v>
      </c>
      <c r="G3" s="115" t="s">
        <v>39</v>
      </c>
      <c r="H3" s="115" t="s">
        <v>436</v>
      </c>
      <c r="I3" s="115" t="s">
        <v>437</v>
      </c>
      <c r="J3" s="130" t="s">
        <v>40</v>
      </c>
      <c r="K3" s="130" t="s">
        <v>438</v>
      </c>
    </row>
    <row r="4" spans="1:11" ht="15" customHeight="1">
      <c r="A4" s="568" t="s">
        <v>439</v>
      </c>
      <c r="B4" s="21">
        <v>23</v>
      </c>
      <c r="C4" s="21">
        <v>2</v>
      </c>
      <c r="D4" s="21">
        <v>21</v>
      </c>
      <c r="E4" s="21">
        <v>23</v>
      </c>
      <c r="F4" s="21"/>
      <c r="G4" s="21">
        <v>1995</v>
      </c>
      <c r="H4" s="21">
        <v>2</v>
      </c>
      <c r="I4" s="21">
        <v>4</v>
      </c>
      <c r="J4" s="569">
        <v>26</v>
      </c>
      <c r="K4" s="570">
        <v>104</v>
      </c>
    </row>
    <row r="5" spans="1:13" ht="15" customHeight="1">
      <c r="A5" s="568" t="s">
        <v>440</v>
      </c>
      <c r="B5" s="21">
        <v>20</v>
      </c>
      <c r="C5" s="21">
        <v>4</v>
      </c>
      <c r="D5" s="21">
        <v>16</v>
      </c>
      <c r="E5" s="21"/>
      <c r="F5" s="21"/>
      <c r="G5" s="21">
        <v>1995</v>
      </c>
      <c r="H5" s="21">
        <v>2</v>
      </c>
      <c r="I5" s="21">
        <v>4</v>
      </c>
      <c r="J5" s="569">
        <v>26</v>
      </c>
      <c r="K5" s="570">
        <v>104</v>
      </c>
      <c r="M5" s="541"/>
    </row>
    <row r="6" spans="1:11" ht="15" customHeight="1">
      <c r="A6" s="568" t="s">
        <v>156</v>
      </c>
      <c r="B6" s="21">
        <v>27</v>
      </c>
      <c r="C6" s="21">
        <v>9</v>
      </c>
      <c r="D6" s="21">
        <v>18</v>
      </c>
      <c r="E6" s="21">
        <v>25</v>
      </c>
      <c r="F6" s="21">
        <v>2</v>
      </c>
      <c r="G6" s="21">
        <v>1995</v>
      </c>
      <c r="H6" s="21">
        <v>2</v>
      </c>
      <c r="I6" s="21">
        <v>4</v>
      </c>
      <c r="J6" s="569">
        <v>26</v>
      </c>
      <c r="K6" s="570">
        <v>104</v>
      </c>
    </row>
    <row r="7" spans="1:11" ht="15" customHeight="1">
      <c r="A7" s="503" t="s">
        <v>157</v>
      </c>
      <c r="B7" s="503">
        <f>SUM(B4:B6)</f>
        <v>70</v>
      </c>
      <c r="C7" s="503">
        <f>SUM(C4:C6)</f>
        <v>15</v>
      </c>
      <c r="D7" s="503">
        <f>SUM(D4:D6)</f>
        <v>55</v>
      </c>
      <c r="E7" s="503">
        <f>SUM(E4:E6)</f>
        <v>48</v>
      </c>
      <c r="F7" s="503">
        <f>SUM(F4:F6)</f>
        <v>2</v>
      </c>
      <c r="G7" s="503"/>
      <c r="H7" s="503">
        <v>8</v>
      </c>
      <c r="I7" s="503">
        <v>16</v>
      </c>
      <c r="J7" s="571">
        <v>26</v>
      </c>
      <c r="K7" s="504">
        <f>SUM(K4:K6)</f>
        <v>312</v>
      </c>
    </row>
    <row r="9" ht="15">
      <c r="A9" s="505"/>
    </row>
    <row r="10" spans="8:10" ht="12.75">
      <c r="H10" s="506"/>
      <c r="I10" s="507"/>
      <c r="J10" s="508"/>
    </row>
  </sheetData>
  <mergeCells count="2">
    <mergeCell ref="A2:K2"/>
    <mergeCell ref="A1:J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T32"/>
  <sheetViews>
    <sheetView workbookViewId="0" topLeftCell="A1">
      <selection activeCell="F36" sqref="F36"/>
    </sheetView>
  </sheetViews>
  <sheetFormatPr defaultColWidth="9.140625" defaultRowHeight="12.75"/>
  <cols>
    <col min="1" max="1" width="40.7109375" style="559" customWidth="1"/>
    <col min="2" max="2" width="17.140625" style="665" customWidth="1"/>
    <col min="3" max="3" width="17.57421875" style="559" customWidth="1"/>
    <col min="4" max="4" width="8.8515625" style="682" customWidth="1"/>
    <col min="5" max="5" width="17.140625" style="683" customWidth="1"/>
    <col min="6" max="6" width="15.28125" style="683" customWidth="1"/>
    <col min="7" max="7" width="15.8515625" style="683" customWidth="1"/>
    <col min="8" max="8" width="12.140625" style="684" customWidth="1"/>
    <col min="9" max="9" width="11.57421875" style="684" customWidth="1"/>
    <col min="10" max="10" width="16.00390625" style="683" customWidth="1"/>
    <col min="11" max="11" width="16.00390625" style="685" customWidth="1"/>
    <col min="12" max="16384" width="11.57421875" style="665" customWidth="1"/>
  </cols>
  <sheetData>
    <row r="1" spans="1:11" s="628" customFormat="1" ht="30" customHeight="1">
      <c r="A1" s="1013" t="s">
        <v>463</v>
      </c>
      <c r="B1" s="1014"/>
      <c r="C1" s="1014"/>
      <c r="D1" s="1014"/>
      <c r="E1" s="1014"/>
      <c r="F1" s="1014"/>
      <c r="G1" s="1014"/>
      <c r="H1" s="1014"/>
      <c r="I1" s="1014"/>
      <c r="J1" s="1014"/>
      <c r="K1" s="627">
        <v>40071131</v>
      </c>
    </row>
    <row r="2" spans="1:11" s="629" customFormat="1" ht="48.75" customHeight="1">
      <c r="A2" s="1021" t="s">
        <v>85</v>
      </c>
      <c r="B2" s="1113"/>
      <c r="C2" s="1113"/>
      <c r="D2" s="1113"/>
      <c r="E2" s="1113"/>
      <c r="F2" s="1113"/>
      <c r="G2" s="1113"/>
      <c r="H2" s="1113"/>
      <c r="I2" s="1113"/>
      <c r="J2" s="1113"/>
      <c r="K2" s="1113"/>
    </row>
    <row r="3" spans="1:11" s="635" customFormat="1" ht="63.75" customHeight="1">
      <c r="A3" s="630" t="s">
        <v>56</v>
      </c>
      <c r="B3" s="631" t="s">
        <v>84</v>
      </c>
      <c r="C3" s="632" t="s">
        <v>259</v>
      </c>
      <c r="D3" s="633" t="s">
        <v>40</v>
      </c>
      <c r="E3" s="632" t="s">
        <v>238</v>
      </c>
      <c r="F3" s="634" t="s">
        <v>260</v>
      </c>
      <c r="G3" s="634" t="s">
        <v>262</v>
      </c>
      <c r="H3" s="632" t="s">
        <v>240</v>
      </c>
      <c r="I3" s="633" t="s">
        <v>40</v>
      </c>
      <c r="J3" s="632" t="s">
        <v>261</v>
      </c>
      <c r="K3" s="511" t="s">
        <v>58</v>
      </c>
    </row>
    <row r="4" spans="1:11" s="644" customFormat="1" ht="15" customHeight="1">
      <c r="A4" s="636" t="s">
        <v>66</v>
      </c>
      <c r="B4" s="637"/>
      <c r="C4" s="638"/>
      <c r="D4" s="639"/>
      <c r="E4" s="640"/>
      <c r="F4" s="640"/>
      <c r="G4" s="641"/>
      <c r="H4" s="642"/>
      <c r="I4" s="642"/>
      <c r="J4" s="641"/>
      <c r="K4" s="643"/>
    </row>
    <row r="5" spans="1:11" s="649" customFormat="1" ht="15" customHeight="1">
      <c r="A5" s="775" t="s">
        <v>462</v>
      </c>
      <c r="B5" s="645" t="s">
        <v>53</v>
      </c>
      <c r="C5" s="646">
        <v>288</v>
      </c>
      <c r="D5" s="647">
        <v>20.384</v>
      </c>
      <c r="E5" s="586">
        <f>C5*D5</f>
        <v>5870.592000000001</v>
      </c>
      <c r="F5" s="586">
        <v>717.5</v>
      </c>
      <c r="G5" s="648">
        <v>516.1</v>
      </c>
      <c r="H5" s="646">
        <v>265.5</v>
      </c>
      <c r="I5" s="586">
        <f>22.85*1.04</f>
        <v>23.764000000000003</v>
      </c>
      <c r="J5" s="586">
        <f>H5*I5</f>
        <v>6309.342000000001</v>
      </c>
      <c r="K5" s="586">
        <f>J5+G5+F5+E5</f>
        <v>13413.534000000001</v>
      </c>
    </row>
    <row r="6" spans="1:11" s="649" customFormat="1" ht="15" customHeight="1">
      <c r="A6" s="776" t="s">
        <v>51</v>
      </c>
      <c r="B6" s="580"/>
      <c r="C6" s="650"/>
      <c r="D6" s="651"/>
      <c r="E6" s="652"/>
      <c r="F6" s="652"/>
      <c r="G6" s="653"/>
      <c r="H6" s="654"/>
      <c r="I6" s="652"/>
      <c r="J6" s="652"/>
      <c r="K6" s="652">
        <f>3921.08-J7</f>
        <v>-2388.2620000000006</v>
      </c>
    </row>
    <row r="7" spans="1:20" s="659" customFormat="1" ht="15" customHeight="1">
      <c r="A7" s="554" t="s">
        <v>75</v>
      </c>
      <c r="B7" s="526"/>
      <c r="C7" s="655">
        <f>SUM(C5:C6)</f>
        <v>288</v>
      </c>
      <c r="D7" s="526"/>
      <c r="E7" s="550">
        <f>SUM(E5)</f>
        <v>5870.592000000001</v>
      </c>
      <c r="F7" s="550">
        <f>452*0.35*1.04+394*0.35*1.04+553*0.37*1.04+378*0.38*1.04+585*0.31*1.04+859*0.36*1.04+600*0.36*1.04</f>
        <v>1404.9776000000002</v>
      </c>
      <c r="G7" s="550">
        <f>SUM(G5:G6)</f>
        <v>516.1</v>
      </c>
      <c r="H7" s="656">
        <f>SUM(H5:H6)</f>
        <v>265.5</v>
      </c>
      <c r="I7" s="526"/>
      <c r="J7" s="550">
        <f>SUM(J5)</f>
        <v>6309.342000000001</v>
      </c>
      <c r="K7" s="550">
        <f>SUM(K5:K6)</f>
        <v>11025.272</v>
      </c>
      <c r="L7" s="657"/>
      <c r="M7" s="658"/>
      <c r="N7" s="658"/>
      <c r="O7" s="658"/>
      <c r="P7" s="658"/>
      <c r="Q7" s="657"/>
      <c r="R7" s="658"/>
      <c r="S7" s="658"/>
      <c r="T7" s="658"/>
    </row>
    <row r="8" spans="1:20" s="659" customFormat="1" ht="15" customHeight="1">
      <c r="A8" s="636" t="s">
        <v>64</v>
      </c>
      <c r="B8" s="637"/>
      <c r="C8" s="638"/>
      <c r="D8" s="639"/>
      <c r="E8" s="640"/>
      <c r="F8" s="640"/>
      <c r="G8" s="641"/>
      <c r="H8" s="642"/>
      <c r="I8" s="642"/>
      <c r="J8" s="641"/>
      <c r="K8" s="643"/>
      <c r="L8" s="657"/>
      <c r="M8" s="658"/>
      <c r="N8" s="658"/>
      <c r="O8" s="658"/>
      <c r="P8" s="658"/>
      <c r="Q8" s="657"/>
      <c r="R8" s="658"/>
      <c r="S8" s="658"/>
      <c r="T8" s="658"/>
    </row>
    <row r="9" spans="1:20" s="659" customFormat="1" ht="15" customHeight="1">
      <c r="A9" s="554" t="s">
        <v>8</v>
      </c>
      <c r="B9" s="526"/>
      <c r="C9" s="655">
        <v>0</v>
      </c>
      <c r="D9" s="526"/>
      <c r="E9" s="550">
        <v>0</v>
      </c>
      <c r="F9" s="550">
        <v>0</v>
      </c>
      <c r="G9" s="550">
        <v>0</v>
      </c>
      <c r="H9" s="656">
        <v>0</v>
      </c>
      <c r="I9" s="526"/>
      <c r="J9" s="550">
        <v>0</v>
      </c>
      <c r="K9" s="550">
        <v>0</v>
      </c>
      <c r="L9" s="657"/>
      <c r="M9" s="658"/>
      <c r="N9" s="658"/>
      <c r="O9" s="658"/>
      <c r="P9" s="658"/>
      <c r="Q9" s="657"/>
      <c r="R9" s="658"/>
      <c r="S9" s="658"/>
      <c r="T9" s="658"/>
    </row>
    <row r="10" spans="1:20" s="659" customFormat="1" ht="15" customHeight="1">
      <c r="A10" s="636" t="s">
        <v>67</v>
      </c>
      <c r="B10" s="637"/>
      <c r="C10" s="638"/>
      <c r="D10" s="639"/>
      <c r="E10" s="640"/>
      <c r="F10" s="640"/>
      <c r="G10" s="641"/>
      <c r="H10" s="642"/>
      <c r="I10" s="642"/>
      <c r="J10" s="641"/>
      <c r="K10" s="643"/>
      <c r="L10" s="657"/>
      <c r="M10" s="658"/>
      <c r="N10" s="658"/>
      <c r="O10" s="658"/>
      <c r="P10" s="658"/>
      <c r="Q10" s="657"/>
      <c r="R10" s="658"/>
      <c r="S10" s="658"/>
      <c r="T10" s="658"/>
    </row>
    <row r="11" spans="1:20" s="659" customFormat="1" ht="15" customHeight="1">
      <c r="A11" s="554" t="s">
        <v>95</v>
      </c>
      <c r="B11" s="526"/>
      <c r="C11" s="655">
        <f>SUM(C9:C10)</f>
        <v>0</v>
      </c>
      <c r="D11" s="526"/>
      <c r="E11" s="550">
        <f>SUM(E9)</f>
        <v>0</v>
      </c>
      <c r="F11" s="550">
        <v>0</v>
      </c>
      <c r="G11" s="550">
        <f>SUM(G9:G10)</f>
        <v>0</v>
      </c>
      <c r="H11" s="656">
        <f>SUM(H9:H10)</f>
        <v>0</v>
      </c>
      <c r="I11" s="526"/>
      <c r="J11" s="550">
        <f>SUM(J9)</f>
        <v>0</v>
      </c>
      <c r="K11" s="550">
        <f>SUM(K9:K10)</f>
        <v>0</v>
      </c>
      <c r="L11" s="657"/>
      <c r="M11" s="658"/>
      <c r="N11" s="658"/>
      <c r="O11" s="658"/>
      <c r="P11" s="658"/>
      <c r="Q11" s="657"/>
      <c r="R11" s="658"/>
      <c r="S11" s="658"/>
      <c r="T11" s="658"/>
    </row>
    <row r="12" spans="1:11" s="644" customFormat="1" ht="15" customHeight="1">
      <c r="A12" s="636" t="s">
        <v>68</v>
      </c>
      <c r="B12" s="660"/>
      <c r="C12" s="661"/>
      <c r="D12" s="662"/>
      <c r="E12" s="640"/>
      <c r="F12" s="640"/>
      <c r="G12" s="641"/>
      <c r="H12" s="642"/>
      <c r="I12" s="641"/>
      <c r="J12" s="641"/>
      <c r="K12" s="643"/>
    </row>
    <row r="13" spans="1:11" ht="15" customHeight="1">
      <c r="A13" s="775" t="s">
        <v>462</v>
      </c>
      <c r="B13" s="663" t="s">
        <v>53</v>
      </c>
      <c r="C13" s="646">
        <v>287.5</v>
      </c>
      <c r="D13" s="647">
        <v>20.384</v>
      </c>
      <c r="E13" s="586">
        <f>C13*D13</f>
        <v>5860.400000000001</v>
      </c>
      <c r="F13" s="586">
        <v>509.08</v>
      </c>
      <c r="G13" s="648">
        <v>485.54</v>
      </c>
      <c r="H13" s="646">
        <v>141.5</v>
      </c>
      <c r="I13" s="664">
        <v>23.76</v>
      </c>
      <c r="J13" s="586">
        <f>H13*I13</f>
        <v>3362.0400000000004</v>
      </c>
      <c r="K13" s="586">
        <f>J13+G13+F13+E13</f>
        <v>10217.060000000001</v>
      </c>
    </row>
    <row r="14" spans="1:11" s="649" customFormat="1" ht="15" customHeight="1">
      <c r="A14" s="776" t="s">
        <v>51</v>
      </c>
      <c r="B14" s="580"/>
      <c r="C14" s="650"/>
      <c r="D14" s="651"/>
      <c r="E14" s="652"/>
      <c r="F14" s="652"/>
      <c r="G14" s="653"/>
      <c r="H14" s="654"/>
      <c r="I14" s="652"/>
      <c r="J14" s="652"/>
      <c r="K14" s="652">
        <f>3921.08-J15</f>
        <v>559.0399999999995</v>
      </c>
    </row>
    <row r="15" spans="1:20" s="659" customFormat="1" ht="15" customHeight="1">
      <c r="A15" s="666" t="s">
        <v>478</v>
      </c>
      <c r="B15" s="526"/>
      <c r="C15" s="655">
        <f>SUM(C13:C14)</f>
        <v>287.5</v>
      </c>
      <c r="D15" s="526"/>
      <c r="E15" s="550">
        <f>SUM(E13)</f>
        <v>5860.400000000001</v>
      </c>
      <c r="F15" s="550">
        <f>SUM(F13:F14)</f>
        <v>509.08</v>
      </c>
      <c r="G15" s="550">
        <f>SUM(G13:G14)</f>
        <v>485.54</v>
      </c>
      <c r="H15" s="656">
        <f>SUM(H13:H13)</f>
        <v>141.5</v>
      </c>
      <c r="I15" s="526"/>
      <c r="J15" s="550">
        <f>SUM(J13)</f>
        <v>3362.0400000000004</v>
      </c>
      <c r="K15" s="550">
        <f>SUM(K13:K14)</f>
        <v>10776.1</v>
      </c>
      <c r="L15" s="657"/>
      <c r="M15" s="658"/>
      <c r="N15" s="658"/>
      <c r="O15" s="658"/>
      <c r="P15" s="658"/>
      <c r="Q15" s="657"/>
      <c r="R15" s="658"/>
      <c r="S15" s="658"/>
      <c r="T15" s="658"/>
    </row>
    <row r="16" spans="1:11" s="644" customFormat="1" ht="15" customHeight="1">
      <c r="A16" s="636" t="s">
        <v>65</v>
      </c>
      <c r="B16" s="637"/>
      <c r="C16" s="661"/>
      <c r="D16" s="662"/>
      <c r="E16" s="640"/>
      <c r="F16" s="640"/>
      <c r="G16" s="667"/>
      <c r="H16" s="642"/>
      <c r="I16" s="641"/>
      <c r="J16" s="641"/>
      <c r="K16" s="643"/>
    </row>
    <row r="17" spans="1:11" ht="15" customHeight="1">
      <c r="A17" s="775" t="s">
        <v>462</v>
      </c>
      <c r="B17" s="663" t="s">
        <v>53</v>
      </c>
      <c r="C17" s="668">
        <v>280</v>
      </c>
      <c r="D17" s="669">
        <v>20.384</v>
      </c>
      <c r="E17" s="670">
        <f>C17*D17</f>
        <v>5707.52</v>
      </c>
      <c r="F17" s="670">
        <v>408.1</v>
      </c>
      <c r="G17" s="664">
        <v>487.18</v>
      </c>
      <c r="H17" s="646">
        <v>182.5</v>
      </c>
      <c r="I17" s="664">
        <v>23.76</v>
      </c>
      <c r="J17" s="664">
        <f>H17*I17</f>
        <v>4336.200000000001</v>
      </c>
      <c r="K17" s="586">
        <f>J17+G17+F17+E17</f>
        <v>10939.000000000002</v>
      </c>
    </row>
    <row r="18" spans="1:11" ht="15" customHeight="1">
      <c r="A18" s="776" t="s">
        <v>51</v>
      </c>
      <c r="B18" s="663"/>
      <c r="C18" s="668"/>
      <c r="D18" s="671"/>
      <c r="E18" s="670"/>
      <c r="F18" s="670"/>
      <c r="G18" s="664"/>
      <c r="H18" s="672"/>
      <c r="I18" s="664"/>
      <c r="J18" s="664"/>
      <c r="K18" s="670">
        <f>3921.08-J19</f>
        <v>-415.1200000000008</v>
      </c>
    </row>
    <row r="19" spans="1:11" ht="15" customHeight="1">
      <c r="A19" s="666" t="s">
        <v>340</v>
      </c>
      <c r="B19" s="673"/>
      <c r="C19" s="655">
        <f>SUM(C17:C18)</f>
        <v>280</v>
      </c>
      <c r="D19" s="674"/>
      <c r="E19" s="550">
        <f>SUM(E17)</f>
        <v>5707.52</v>
      </c>
      <c r="F19" s="550">
        <f>SUM(F17:F18)</f>
        <v>408.1</v>
      </c>
      <c r="G19" s="550">
        <f>SUM(G17:G18)</f>
        <v>487.18</v>
      </c>
      <c r="H19" s="656">
        <f>SUM(H17:H17)</f>
        <v>182.5</v>
      </c>
      <c r="I19" s="675"/>
      <c r="J19" s="550">
        <f>SUM(J17:J18)</f>
        <v>4336.200000000001</v>
      </c>
      <c r="K19" s="550">
        <f>SUM(K17:K18)</f>
        <v>10523.880000000001</v>
      </c>
    </row>
    <row r="20" spans="1:11" s="644" customFormat="1" ht="15" customHeight="1">
      <c r="A20" s="636" t="s">
        <v>69</v>
      </c>
      <c r="B20" s="660"/>
      <c r="C20" s="661"/>
      <c r="D20" s="662"/>
      <c r="E20" s="640"/>
      <c r="F20" s="640"/>
      <c r="G20" s="641"/>
      <c r="H20" s="642"/>
      <c r="I20" s="641"/>
      <c r="J20" s="641"/>
      <c r="K20" s="643"/>
    </row>
    <row r="21" spans="1:11" s="649" customFormat="1" ht="15" customHeight="1">
      <c r="A21" s="775" t="s">
        <v>462</v>
      </c>
      <c r="B21" s="663" t="s">
        <v>53</v>
      </c>
      <c r="C21" s="668">
        <v>191</v>
      </c>
      <c r="D21" s="671">
        <v>20.384</v>
      </c>
      <c r="E21" s="670">
        <f>C21*D21</f>
        <v>3893.344</v>
      </c>
      <c r="F21" s="670">
        <v>571.48</v>
      </c>
      <c r="G21" s="664">
        <v>415.18</v>
      </c>
      <c r="H21" s="646">
        <v>196</v>
      </c>
      <c r="I21" s="664">
        <v>23.76</v>
      </c>
      <c r="J21" s="664">
        <f>H21*I21</f>
        <v>4656.96</v>
      </c>
      <c r="K21" s="586">
        <f>J21+G21+F21+E21</f>
        <v>9536.964</v>
      </c>
    </row>
    <row r="22" spans="1:11" ht="15" customHeight="1">
      <c r="A22" s="776" t="s">
        <v>51</v>
      </c>
      <c r="B22" s="663"/>
      <c r="C22" s="668"/>
      <c r="D22" s="671"/>
      <c r="E22" s="670"/>
      <c r="F22" s="670"/>
      <c r="G22" s="664"/>
      <c r="H22" s="672"/>
      <c r="I22" s="664"/>
      <c r="J22" s="664"/>
      <c r="K22" s="670">
        <f>2614.04-J21</f>
        <v>-2042.92</v>
      </c>
    </row>
    <row r="23" spans="1:11" ht="15" customHeight="1">
      <c r="A23" s="666" t="s">
        <v>13</v>
      </c>
      <c r="B23" s="673"/>
      <c r="C23" s="655">
        <f>SUM(C21:C22)</f>
        <v>191</v>
      </c>
      <c r="D23" s="674"/>
      <c r="E23" s="550">
        <f>SUM(E21)</f>
        <v>3893.344</v>
      </c>
      <c r="F23" s="550">
        <f>SUM(F21:F22)</f>
        <v>571.48</v>
      </c>
      <c r="G23" s="550">
        <f>SUM(G21:G22)</f>
        <v>415.18</v>
      </c>
      <c r="H23" s="656">
        <f>SUM(H21:H21)</f>
        <v>196</v>
      </c>
      <c r="I23" s="675"/>
      <c r="J23" s="550">
        <f>SUM(J21:J22)</f>
        <v>4656.96</v>
      </c>
      <c r="K23" s="550">
        <f>SUM(K21:K22)</f>
        <v>7494.044</v>
      </c>
    </row>
    <row r="24" spans="1:11" ht="15" customHeight="1">
      <c r="A24" s="636" t="s">
        <v>70</v>
      </c>
      <c r="B24" s="637"/>
      <c r="C24" s="638"/>
      <c r="D24" s="639"/>
      <c r="E24" s="640"/>
      <c r="F24" s="640"/>
      <c r="G24" s="641"/>
      <c r="H24" s="642"/>
      <c r="I24" s="642"/>
      <c r="J24" s="641"/>
      <c r="K24" s="643"/>
    </row>
    <row r="25" spans="1:11" ht="15" customHeight="1">
      <c r="A25" s="554" t="s">
        <v>341</v>
      </c>
      <c r="B25" s="526"/>
      <c r="C25" s="655">
        <v>0</v>
      </c>
      <c r="D25" s="526"/>
      <c r="E25" s="550">
        <v>0</v>
      </c>
      <c r="F25" s="550">
        <v>0</v>
      </c>
      <c r="G25" s="550">
        <v>0</v>
      </c>
      <c r="H25" s="656">
        <v>0</v>
      </c>
      <c r="I25" s="526"/>
      <c r="J25" s="550">
        <v>0</v>
      </c>
      <c r="K25" s="550">
        <v>0</v>
      </c>
    </row>
    <row r="26" spans="1:11" s="644" customFormat="1" ht="15" customHeight="1">
      <c r="A26" s="636" t="s">
        <v>71</v>
      </c>
      <c r="B26" s="660"/>
      <c r="C26" s="661"/>
      <c r="D26" s="662"/>
      <c r="E26" s="640"/>
      <c r="F26" s="640"/>
      <c r="G26" s="641"/>
      <c r="H26" s="642"/>
      <c r="I26" s="641"/>
      <c r="J26" s="641"/>
      <c r="K26" s="643"/>
    </row>
    <row r="27" spans="1:11" s="677" customFormat="1" ht="15" customHeight="1">
      <c r="A27" s="775" t="s">
        <v>462</v>
      </c>
      <c r="B27" s="663" t="s">
        <v>53</v>
      </c>
      <c r="C27" s="676">
        <v>291</v>
      </c>
      <c r="D27" s="651">
        <v>20.384</v>
      </c>
      <c r="E27" s="652">
        <f>C27*D27</f>
        <v>5931.744</v>
      </c>
      <c r="F27" s="652">
        <v>674.44</v>
      </c>
      <c r="G27" s="653">
        <v>455.97</v>
      </c>
      <c r="H27" s="676">
        <v>166</v>
      </c>
      <c r="I27" s="664">
        <v>23.76</v>
      </c>
      <c r="J27" s="586">
        <f>H27*I27</f>
        <v>3944.1600000000003</v>
      </c>
      <c r="K27" s="586">
        <f>J27+G27+F27+E27</f>
        <v>11006.313999999998</v>
      </c>
    </row>
    <row r="28" spans="1:11" ht="15" customHeight="1">
      <c r="A28" s="776" t="s">
        <v>51</v>
      </c>
      <c r="B28" s="663"/>
      <c r="C28" s="668"/>
      <c r="D28" s="671"/>
      <c r="E28" s="670"/>
      <c r="F28" s="670"/>
      <c r="G28" s="664"/>
      <c r="H28" s="672"/>
      <c r="I28" s="664"/>
      <c r="J28" s="664"/>
      <c r="K28" s="670">
        <f>3921.08-J29</f>
        <v>-23.080000000000382</v>
      </c>
    </row>
    <row r="29" spans="1:11" ht="15" customHeight="1">
      <c r="A29" s="666" t="s">
        <v>154</v>
      </c>
      <c r="B29" s="673"/>
      <c r="C29" s="655">
        <f>SUM(C27:C28)</f>
        <v>291</v>
      </c>
      <c r="D29" s="674"/>
      <c r="E29" s="550">
        <f>SUM(E27)</f>
        <v>5931.744</v>
      </c>
      <c r="F29" s="550">
        <f>SUM(F27:F28)</f>
        <v>674.44</v>
      </c>
      <c r="G29" s="550">
        <f>SUM(G27:G28)</f>
        <v>455.97</v>
      </c>
      <c r="H29" s="656">
        <f>SUM(H27:H27)</f>
        <v>166</v>
      </c>
      <c r="I29" s="675"/>
      <c r="J29" s="550">
        <f>SUM(J27:J28)</f>
        <v>3944.1600000000003</v>
      </c>
      <c r="K29" s="550">
        <f>SUM(K27:K28)</f>
        <v>10983.233999999999</v>
      </c>
    </row>
    <row r="30" spans="1:11" ht="15" customHeight="1">
      <c r="A30" s="636" t="s">
        <v>72</v>
      </c>
      <c r="B30" s="637"/>
      <c r="C30" s="638"/>
      <c r="D30" s="639"/>
      <c r="E30" s="640"/>
      <c r="F30" s="640"/>
      <c r="G30" s="641"/>
      <c r="H30" s="642"/>
      <c r="I30" s="642"/>
      <c r="J30" s="641"/>
      <c r="K30" s="643"/>
    </row>
    <row r="31" spans="1:11" ht="15" customHeight="1">
      <c r="A31" s="554" t="s">
        <v>328</v>
      </c>
      <c r="B31" s="526"/>
      <c r="C31" s="655">
        <v>0</v>
      </c>
      <c r="D31" s="526"/>
      <c r="E31" s="550">
        <v>0</v>
      </c>
      <c r="F31" s="550">
        <v>0</v>
      </c>
      <c r="G31" s="550">
        <v>0</v>
      </c>
      <c r="H31" s="656">
        <v>0</v>
      </c>
      <c r="I31" s="526"/>
      <c r="J31" s="550">
        <v>0</v>
      </c>
      <c r="K31" s="550">
        <v>0</v>
      </c>
    </row>
    <row r="32" spans="1:11" s="681" customFormat="1" ht="15" customHeight="1">
      <c r="A32" s="678" t="s">
        <v>468</v>
      </c>
      <c r="B32" s="557"/>
      <c r="C32" s="679">
        <f>C29+C23+C19+C15+C7</f>
        <v>1337.5</v>
      </c>
      <c r="D32" s="680"/>
      <c r="E32" s="550"/>
      <c r="F32" s="550"/>
      <c r="G32" s="550"/>
      <c r="H32" s="679">
        <f>H29+H23+H19+H15+H7</f>
        <v>951.5</v>
      </c>
      <c r="I32" s="550"/>
      <c r="J32" s="550"/>
      <c r="K32" s="558">
        <f>K29+K23+K19+K15+K7</f>
        <v>50802.53</v>
      </c>
    </row>
  </sheetData>
  <mergeCells count="2">
    <mergeCell ref="A1:J1"/>
    <mergeCell ref="A2:K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7"/>
  </sheetPr>
  <dimension ref="A1:V48"/>
  <sheetViews>
    <sheetView workbookViewId="0" topLeftCell="H1">
      <selection activeCell="A1" sqref="A1:T1"/>
    </sheetView>
  </sheetViews>
  <sheetFormatPr defaultColWidth="9.140625" defaultRowHeight="12.75"/>
  <cols>
    <col min="1" max="3" width="20.7109375" style="4" customWidth="1"/>
    <col min="4" max="4" width="7.57421875" style="4" customWidth="1"/>
    <col min="5" max="5" width="5.7109375" style="303" customWidth="1"/>
    <col min="6" max="6" width="5.7109375" style="3" customWidth="1"/>
    <col min="7" max="8" width="9.7109375" style="3" customWidth="1"/>
    <col min="9" max="10" width="13.7109375" style="3" customWidth="1"/>
    <col min="11" max="11" width="10.140625" style="3" customWidth="1"/>
    <col min="12" max="12" width="15.57421875" style="9" customWidth="1"/>
    <col min="13" max="13" width="13.28125" style="4" customWidth="1"/>
    <col min="14" max="14" width="11.57421875" style="11" customWidth="1"/>
    <col min="15" max="17" width="16.00390625" style="11" customWidth="1"/>
    <col min="18" max="18" width="17.00390625" style="210" customWidth="1"/>
    <col min="19" max="19" width="11.00390625" style="11" customWidth="1"/>
    <col min="20" max="20" width="17.140625" style="210" customWidth="1"/>
    <col min="21" max="21" width="16.140625" style="212" customWidth="1"/>
    <col min="22" max="22" width="20.00390625" style="9" customWidth="1"/>
    <col min="23" max="16384" width="11.57421875" style="9" customWidth="1"/>
  </cols>
  <sheetData>
    <row r="1" spans="1:21" s="48" customFormat="1" ht="30" customHeight="1">
      <c r="A1" s="1007" t="s">
        <v>54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458">
        <v>40070173</v>
      </c>
    </row>
    <row r="2" spans="1:21" s="49" customFormat="1" ht="33.75" customHeight="1">
      <c r="A2" s="1044" t="s">
        <v>404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  <c r="P2" s="1044"/>
      <c r="Q2" s="1044"/>
      <c r="R2" s="1044"/>
      <c r="S2" s="1044"/>
      <c r="T2" s="1044"/>
      <c r="U2" s="1044"/>
    </row>
    <row r="3" spans="1:21" s="4" customFormat="1" ht="15" customHeight="1">
      <c r="A3" s="1027" t="s">
        <v>66</v>
      </c>
      <c r="B3" s="1027"/>
      <c r="C3" s="87"/>
      <c r="D3" s="87"/>
      <c r="E3" s="300"/>
      <c r="F3" s="87"/>
      <c r="G3" s="87"/>
      <c r="H3" s="87"/>
      <c r="I3" s="87"/>
      <c r="J3" s="87"/>
      <c r="K3" s="87"/>
      <c r="L3" s="593"/>
      <c r="M3" s="44"/>
      <c r="N3" s="67"/>
      <c r="O3" s="67"/>
      <c r="P3" s="67"/>
      <c r="Q3" s="67"/>
      <c r="R3" s="67"/>
      <c r="S3" s="67"/>
      <c r="T3" s="196"/>
      <c r="U3" s="211"/>
    </row>
    <row r="4" spans="1:21" s="50" customFormat="1" ht="59.25" customHeight="1">
      <c r="A4" s="39" t="s">
        <v>332</v>
      </c>
      <c r="B4" s="39" t="s">
        <v>333</v>
      </c>
      <c r="C4" s="39" t="s">
        <v>213</v>
      </c>
      <c r="D4" s="115" t="s">
        <v>36</v>
      </c>
      <c r="E4" s="115" t="s">
        <v>73</v>
      </c>
      <c r="F4" s="115" t="s">
        <v>74</v>
      </c>
      <c r="G4" s="115" t="s">
        <v>37</v>
      </c>
      <c r="H4" s="115" t="s">
        <v>38</v>
      </c>
      <c r="I4" s="115" t="s">
        <v>15</v>
      </c>
      <c r="J4" s="115" t="s">
        <v>214</v>
      </c>
      <c r="K4" s="115" t="s">
        <v>39</v>
      </c>
      <c r="L4" s="115" t="s">
        <v>84</v>
      </c>
      <c r="M4" s="360" t="s">
        <v>259</v>
      </c>
      <c r="N4" s="594" t="s">
        <v>40</v>
      </c>
      <c r="O4" s="360" t="s">
        <v>264</v>
      </c>
      <c r="P4" s="360" t="s">
        <v>239</v>
      </c>
      <c r="Q4" s="360" t="s">
        <v>265</v>
      </c>
      <c r="R4" s="360" t="s">
        <v>266</v>
      </c>
      <c r="S4" s="594" t="s">
        <v>40</v>
      </c>
      <c r="T4" s="360" t="s">
        <v>241</v>
      </c>
      <c r="U4" s="595" t="s">
        <v>58</v>
      </c>
    </row>
    <row r="5" spans="1:21" s="323" customFormat="1" ht="15" customHeight="1">
      <c r="A5" s="786"/>
      <c r="B5" s="786"/>
      <c r="C5" s="790"/>
      <c r="D5" s="7">
        <v>1</v>
      </c>
      <c r="E5" s="22">
        <v>1</v>
      </c>
      <c r="F5" s="602"/>
      <c r="G5" s="602"/>
      <c r="H5" s="22">
        <v>1</v>
      </c>
      <c r="I5" s="469" t="s">
        <v>212</v>
      </c>
      <c r="J5" s="469" t="s">
        <v>18</v>
      </c>
      <c r="K5" s="380">
        <v>2009</v>
      </c>
      <c r="L5" s="22" t="s">
        <v>366</v>
      </c>
      <c r="M5" s="324">
        <v>3</v>
      </c>
      <c r="N5" s="325">
        <v>20.384</v>
      </c>
      <c r="O5" s="377">
        <f>M5*N5</f>
        <v>61.152</v>
      </c>
      <c r="P5" s="23">
        <v>0</v>
      </c>
      <c r="Q5" s="23">
        <v>0</v>
      </c>
      <c r="R5" s="324">
        <v>6.75</v>
      </c>
      <c r="S5" s="325">
        <f>22.85*1.04</f>
        <v>23.764000000000003</v>
      </c>
      <c r="T5" s="325">
        <f>R5*S5</f>
        <v>160.407</v>
      </c>
      <c r="U5" s="325">
        <f>T5+Q5+P5+O5</f>
        <v>221.55900000000003</v>
      </c>
    </row>
    <row r="6" spans="1:21" s="323" customFormat="1" ht="15" customHeight="1">
      <c r="A6" s="791"/>
      <c r="B6" s="791"/>
      <c r="C6" s="790"/>
      <c r="D6" s="7">
        <v>1</v>
      </c>
      <c r="E6" s="429"/>
      <c r="F6" s="380">
        <v>1</v>
      </c>
      <c r="G6" s="380">
        <v>1</v>
      </c>
      <c r="H6" s="409"/>
      <c r="I6" s="469" t="s">
        <v>212</v>
      </c>
      <c r="J6" s="469" t="s">
        <v>155</v>
      </c>
      <c r="K6" s="380">
        <v>2007</v>
      </c>
      <c r="L6" s="22" t="s">
        <v>366</v>
      </c>
      <c r="M6" s="22">
        <v>65.25</v>
      </c>
      <c r="N6" s="325">
        <v>20.384</v>
      </c>
      <c r="O6" s="377">
        <f>M6*N6</f>
        <v>1330.056</v>
      </c>
      <c r="P6" s="23">
        <v>0</v>
      </c>
      <c r="Q6" s="23">
        <v>0</v>
      </c>
      <c r="R6" s="324">
        <v>0</v>
      </c>
      <c r="S6" s="325">
        <f>22.85*1.04</f>
        <v>23.764000000000003</v>
      </c>
      <c r="T6" s="325">
        <f>R6*S6</f>
        <v>0</v>
      </c>
      <c r="U6" s="325">
        <f>O6+T6+P6+Q6</f>
        <v>1330.056</v>
      </c>
    </row>
    <row r="7" spans="1:21" s="323" customFormat="1" ht="15" customHeight="1">
      <c r="A7" s="791"/>
      <c r="B7" s="791"/>
      <c r="C7" s="790"/>
      <c r="D7" s="7">
        <v>1</v>
      </c>
      <c r="E7" s="429"/>
      <c r="F7" s="380">
        <v>1</v>
      </c>
      <c r="G7" s="380">
        <v>1</v>
      </c>
      <c r="H7" s="409"/>
      <c r="I7" s="22" t="s">
        <v>212</v>
      </c>
      <c r="J7" s="22" t="s">
        <v>212</v>
      </c>
      <c r="K7" s="380">
        <v>2008</v>
      </c>
      <c r="L7" s="22" t="s">
        <v>53</v>
      </c>
      <c r="M7" s="22">
        <v>0</v>
      </c>
      <c r="N7" s="325">
        <v>20.384</v>
      </c>
      <c r="O7" s="377">
        <v>0</v>
      </c>
      <c r="P7" s="23">
        <v>0</v>
      </c>
      <c r="Q7" s="23">
        <v>0</v>
      </c>
      <c r="R7" s="324">
        <v>2</v>
      </c>
      <c r="S7" s="325">
        <f>22.85*1.04</f>
        <v>23.764000000000003</v>
      </c>
      <c r="T7" s="325">
        <f>R7*S7</f>
        <v>47.528000000000006</v>
      </c>
      <c r="U7" s="325">
        <f>O7+T7+P7+Q7</f>
        <v>47.528000000000006</v>
      </c>
    </row>
    <row r="8" spans="1:21" s="323" customFormat="1" ht="15" customHeight="1">
      <c r="A8" s="769" t="s">
        <v>51</v>
      </c>
      <c r="B8" s="285"/>
      <c r="C8" s="285"/>
      <c r="D8" s="7"/>
      <c r="E8" s="603"/>
      <c r="F8" s="380"/>
      <c r="G8" s="380"/>
      <c r="H8" s="298"/>
      <c r="I8" s="384"/>
      <c r="J8" s="384"/>
      <c r="K8" s="604"/>
      <c r="L8" s="22"/>
      <c r="M8" s="22"/>
      <c r="N8" s="325"/>
      <c r="O8" s="377"/>
      <c r="P8" s="23"/>
      <c r="Q8" s="23"/>
      <c r="R8" s="324"/>
      <c r="S8" s="325"/>
      <c r="T8" s="325"/>
      <c r="U8" s="325">
        <f>124.76*4-T9</f>
        <v>291.105</v>
      </c>
    </row>
    <row r="9" spans="1:21" s="206" customFormat="1" ht="15" customHeight="1">
      <c r="A9" s="1030" t="s">
        <v>75</v>
      </c>
      <c r="B9" s="1030"/>
      <c r="C9" s="104"/>
      <c r="D9" s="104">
        <f>SUM(D5:D8)</f>
        <v>3</v>
      </c>
      <c r="E9" s="104">
        <f>SUM(E5:E6)</f>
        <v>1</v>
      </c>
      <c r="F9" s="104">
        <f>SUM(F6:F7)</f>
        <v>2</v>
      </c>
      <c r="G9" s="104">
        <f>SUM(G5:G8)</f>
        <v>2</v>
      </c>
      <c r="H9" s="104">
        <f>SUM(H5:H6)</f>
        <v>1</v>
      </c>
      <c r="I9" s="104"/>
      <c r="J9" s="104"/>
      <c r="K9" s="104"/>
      <c r="L9" s="596"/>
      <c r="M9" s="203">
        <f>SUM(M5:M8)</f>
        <v>68.25</v>
      </c>
      <c r="N9" s="204"/>
      <c r="O9" s="312">
        <f>SUM(O6:O6)</f>
        <v>1330.056</v>
      </c>
      <c r="P9" s="312">
        <f>SUM(P6:P6)</f>
        <v>0</v>
      </c>
      <c r="Q9" s="312">
        <f>SUM(Q6:Q6)</f>
        <v>0</v>
      </c>
      <c r="R9" s="203">
        <f>SUM(R5:R8)</f>
        <v>8.75</v>
      </c>
      <c r="S9" s="204"/>
      <c r="T9" s="204">
        <f>SUM(T5:T8)</f>
        <v>207.935</v>
      </c>
      <c r="U9" s="204">
        <f>SUM(U5:U8)</f>
        <v>1890.248</v>
      </c>
    </row>
    <row r="10" spans="1:21" s="4" customFormat="1" ht="15" customHeight="1">
      <c r="A10" s="1027" t="s">
        <v>64</v>
      </c>
      <c r="B10" s="1027"/>
      <c r="C10" s="87"/>
      <c r="D10" s="87"/>
      <c r="E10" s="300"/>
      <c r="F10" s="87"/>
      <c r="G10" s="87"/>
      <c r="H10" s="87"/>
      <c r="I10" s="87"/>
      <c r="J10" s="87"/>
      <c r="K10" s="87"/>
      <c r="L10" s="597"/>
      <c r="M10" s="199"/>
      <c r="N10" s="196"/>
      <c r="O10" s="88"/>
      <c r="P10" s="88"/>
      <c r="Q10" s="88"/>
      <c r="R10" s="196"/>
      <c r="S10" s="196"/>
      <c r="T10" s="196"/>
      <c r="U10" s="211"/>
    </row>
    <row r="11" spans="1:21" s="50" customFormat="1" ht="57.75" customHeight="1">
      <c r="A11" s="39" t="s">
        <v>332</v>
      </c>
      <c r="B11" s="39" t="s">
        <v>333</v>
      </c>
      <c r="C11" s="39" t="s">
        <v>213</v>
      </c>
      <c r="D11" s="115" t="s">
        <v>36</v>
      </c>
      <c r="E11" s="115" t="s">
        <v>73</v>
      </c>
      <c r="F11" s="115" t="s">
        <v>74</v>
      </c>
      <c r="G11" s="115" t="s">
        <v>37</v>
      </c>
      <c r="H11" s="115" t="s">
        <v>38</v>
      </c>
      <c r="I11" s="115" t="s">
        <v>15</v>
      </c>
      <c r="J11" s="115" t="s">
        <v>214</v>
      </c>
      <c r="K11" s="115" t="s">
        <v>39</v>
      </c>
      <c r="L11" s="115" t="s">
        <v>84</v>
      </c>
      <c r="M11" s="360" t="s">
        <v>259</v>
      </c>
      <c r="N11" s="594" t="s">
        <v>40</v>
      </c>
      <c r="O11" s="360" t="s">
        <v>264</v>
      </c>
      <c r="P11" s="360" t="s">
        <v>239</v>
      </c>
      <c r="Q11" s="360" t="s">
        <v>265</v>
      </c>
      <c r="R11" s="360" t="s">
        <v>266</v>
      </c>
      <c r="S11" s="594" t="s">
        <v>40</v>
      </c>
      <c r="T11" s="360" t="s">
        <v>241</v>
      </c>
      <c r="U11" s="595" t="s">
        <v>58</v>
      </c>
    </row>
    <row r="12" spans="1:21" s="367" customFormat="1" ht="15.75" customHeight="1">
      <c r="A12" s="791"/>
      <c r="B12" s="791"/>
      <c r="C12" s="790"/>
      <c r="D12" s="14">
        <v>1</v>
      </c>
      <c r="E12" s="22"/>
      <c r="F12" s="22">
        <v>1</v>
      </c>
      <c r="G12" s="22">
        <v>1</v>
      </c>
      <c r="H12" s="77"/>
      <c r="I12" s="22" t="s">
        <v>212</v>
      </c>
      <c r="J12" s="22" t="s">
        <v>212</v>
      </c>
      <c r="K12" s="22">
        <v>2001</v>
      </c>
      <c r="L12" s="1102" t="s">
        <v>53</v>
      </c>
      <c r="M12" s="1117">
        <v>11.75</v>
      </c>
      <c r="N12" s="1098">
        <v>20.384</v>
      </c>
      <c r="O12" s="1118">
        <f>M12*N12</f>
        <v>239.512</v>
      </c>
      <c r="P12" s="1118">
        <v>0</v>
      </c>
      <c r="Q12" s="1118">
        <v>0</v>
      </c>
      <c r="R12" s="1116">
        <v>0</v>
      </c>
      <c r="S12" s="1115">
        <v>23.76</v>
      </c>
      <c r="T12" s="1098">
        <f>R12*S12</f>
        <v>0</v>
      </c>
      <c r="U12" s="1099">
        <f>T12+Q12+P12+O12</f>
        <v>239.512</v>
      </c>
    </row>
    <row r="13" spans="1:21" s="367" customFormat="1" ht="15.75" customHeight="1">
      <c r="A13" s="791"/>
      <c r="B13" s="791"/>
      <c r="C13" s="790"/>
      <c r="D13" s="14">
        <v>1</v>
      </c>
      <c r="E13" s="22">
        <v>1</v>
      </c>
      <c r="F13" s="22"/>
      <c r="G13" s="22">
        <v>1</v>
      </c>
      <c r="H13" s="77"/>
      <c r="I13" s="22" t="s">
        <v>212</v>
      </c>
      <c r="J13" s="22" t="s">
        <v>212</v>
      </c>
      <c r="K13" s="22">
        <v>2005</v>
      </c>
      <c r="L13" s="1102"/>
      <c r="M13" s="1117"/>
      <c r="N13" s="1098"/>
      <c r="O13" s="1118"/>
      <c r="P13" s="1118"/>
      <c r="Q13" s="1118"/>
      <c r="R13" s="1116"/>
      <c r="S13" s="1115"/>
      <c r="T13" s="1098"/>
      <c r="U13" s="1099"/>
    </row>
    <row r="14" spans="1:21" s="367" customFormat="1" ht="15.75" customHeight="1">
      <c r="A14" s="791"/>
      <c r="B14" s="791"/>
      <c r="C14" s="790"/>
      <c r="D14" s="14">
        <v>1</v>
      </c>
      <c r="E14" s="22">
        <v>1</v>
      </c>
      <c r="F14" s="22"/>
      <c r="G14" s="22">
        <v>1</v>
      </c>
      <c r="H14" s="77"/>
      <c r="I14" s="22" t="s">
        <v>212</v>
      </c>
      <c r="J14" s="22" t="s">
        <v>212</v>
      </c>
      <c r="K14" s="22">
        <v>2007</v>
      </c>
      <c r="L14" s="1102"/>
      <c r="M14" s="1117"/>
      <c r="N14" s="1098"/>
      <c r="O14" s="1118"/>
      <c r="P14" s="1118"/>
      <c r="Q14" s="1118"/>
      <c r="R14" s="1116"/>
      <c r="S14" s="1115"/>
      <c r="T14" s="1098"/>
      <c r="U14" s="1099"/>
    </row>
    <row r="15" spans="1:21" s="367" customFormat="1" ht="15.75" customHeight="1">
      <c r="A15" s="791"/>
      <c r="B15" s="791"/>
      <c r="C15" s="790"/>
      <c r="D15" s="14">
        <v>1</v>
      </c>
      <c r="E15" s="22">
        <v>1</v>
      </c>
      <c r="F15" s="22"/>
      <c r="G15" s="22">
        <v>1</v>
      </c>
      <c r="H15" s="77"/>
      <c r="I15" s="22" t="s">
        <v>212</v>
      </c>
      <c r="J15" s="22" t="s">
        <v>212</v>
      </c>
      <c r="K15" s="22">
        <v>2004</v>
      </c>
      <c r="L15" s="22" t="s">
        <v>366</v>
      </c>
      <c r="M15" s="200">
        <v>189.5</v>
      </c>
      <c r="N15" s="325">
        <v>20.384</v>
      </c>
      <c r="O15" s="335">
        <f>M15*N15</f>
        <v>3862.768</v>
      </c>
      <c r="P15" s="23">
        <v>55.43</v>
      </c>
      <c r="Q15" s="23">
        <v>0</v>
      </c>
      <c r="R15" s="382">
        <v>93.5</v>
      </c>
      <c r="S15" s="325">
        <f>22.85*1.04</f>
        <v>23.764000000000003</v>
      </c>
      <c r="T15" s="383">
        <f>R15*S15</f>
        <v>2221.934</v>
      </c>
      <c r="U15" s="383">
        <f>T15+P15+O15+Q15</f>
        <v>6140.132</v>
      </c>
    </row>
    <row r="16" spans="1:21" s="367" customFormat="1" ht="15.75" customHeight="1">
      <c r="A16" s="791"/>
      <c r="B16" s="791"/>
      <c r="C16" s="790"/>
      <c r="D16" s="14">
        <v>1</v>
      </c>
      <c r="E16" s="22"/>
      <c r="F16" s="22">
        <v>1</v>
      </c>
      <c r="G16" s="22">
        <v>1</v>
      </c>
      <c r="H16" s="77"/>
      <c r="I16" s="22" t="s">
        <v>212</v>
      </c>
      <c r="J16" s="22" t="s">
        <v>212</v>
      </c>
      <c r="K16" s="22">
        <v>2001</v>
      </c>
      <c r="L16" s="22" t="s">
        <v>53</v>
      </c>
      <c r="M16" s="200">
        <v>21</v>
      </c>
      <c r="N16" s="325">
        <v>20.384</v>
      </c>
      <c r="O16" s="335">
        <f>M16*N16</f>
        <v>428.064</v>
      </c>
      <c r="P16" s="23">
        <f>90*0.35*1.04+50*0.35*1.04</f>
        <v>50.959999999999994</v>
      </c>
      <c r="Q16" s="23">
        <f>15*1.04</f>
        <v>15.600000000000001</v>
      </c>
      <c r="R16" s="382">
        <v>0</v>
      </c>
      <c r="S16" s="325">
        <f>22.85*1.04</f>
        <v>23.764000000000003</v>
      </c>
      <c r="T16" s="383">
        <v>0</v>
      </c>
      <c r="U16" s="383">
        <f>T16+P16+O16+Q16</f>
        <v>494.624</v>
      </c>
    </row>
    <row r="17" spans="1:21" s="367" customFormat="1" ht="15.75" customHeight="1">
      <c r="A17" s="791"/>
      <c r="B17" s="791"/>
      <c r="C17" s="790"/>
      <c r="D17" s="14">
        <v>1</v>
      </c>
      <c r="E17" s="22">
        <v>1</v>
      </c>
      <c r="F17" s="22"/>
      <c r="G17" s="22">
        <v>1</v>
      </c>
      <c r="H17" s="77"/>
      <c r="I17" s="22" t="s">
        <v>212</v>
      </c>
      <c r="J17" s="22" t="s">
        <v>212</v>
      </c>
      <c r="K17" s="22">
        <v>2007</v>
      </c>
      <c r="L17" s="22" t="s">
        <v>366</v>
      </c>
      <c r="M17" s="1103">
        <v>24.5</v>
      </c>
      <c r="N17" s="1099">
        <v>20.384</v>
      </c>
      <c r="O17" s="1114">
        <f>M17*N17</f>
        <v>499.408</v>
      </c>
      <c r="P17" s="1114">
        <v>0</v>
      </c>
      <c r="Q17" s="1114">
        <v>14.25</v>
      </c>
      <c r="R17" s="1108">
        <v>0</v>
      </c>
      <c r="S17" s="1104">
        <v>23.76</v>
      </c>
      <c r="T17" s="1104">
        <v>0</v>
      </c>
      <c r="U17" s="1104">
        <f>T17+Q17+P17+O17</f>
        <v>513.658</v>
      </c>
    </row>
    <row r="18" spans="1:21" s="367" customFormat="1" ht="15.75" customHeight="1">
      <c r="A18" s="791"/>
      <c r="B18" s="791"/>
      <c r="C18" s="792"/>
      <c r="D18" s="14">
        <v>1</v>
      </c>
      <c r="E18" s="22"/>
      <c r="F18" s="22">
        <v>1</v>
      </c>
      <c r="G18" s="22">
        <v>1</v>
      </c>
      <c r="H18" s="77"/>
      <c r="I18" s="22" t="s">
        <v>212</v>
      </c>
      <c r="J18" s="22" t="s">
        <v>212</v>
      </c>
      <c r="K18" s="22">
        <v>2005</v>
      </c>
      <c r="L18" s="22" t="s">
        <v>366</v>
      </c>
      <c r="M18" s="1103"/>
      <c r="N18" s="1099"/>
      <c r="O18" s="1114"/>
      <c r="P18" s="1114"/>
      <c r="Q18" s="1114"/>
      <c r="R18" s="1108"/>
      <c r="S18" s="1104"/>
      <c r="T18" s="1104"/>
      <c r="U18" s="1104"/>
    </row>
    <row r="19" spans="1:21" s="367" customFormat="1" ht="15.75" customHeight="1">
      <c r="A19" s="769" t="s">
        <v>80</v>
      </c>
      <c r="B19" s="777"/>
      <c r="C19" s="297"/>
      <c r="D19" s="14"/>
      <c r="E19" s="288"/>
      <c r="F19" s="288"/>
      <c r="G19" s="285"/>
      <c r="H19" s="77"/>
      <c r="I19" s="285"/>
      <c r="J19" s="285"/>
      <c r="K19" s="285"/>
      <c r="L19" s="22"/>
      <c r="M19" s="200"/>
      <c r="N19" s="195"/>
      <c r="O19" s="335"/>
      <c r="P19" s="335"/>
      <c r="Q19" s="335"/>
      <c r="R19" s="382"/>
      <c r="S19" s="368"/>
      <c r="T19" s="368"/>
      <c r="U19" s="368">
        <v>125.77</v>
      </c>
    </row>
    <row r="20" spans="1:22" s="80" customFormat="1" ht="15" customHeight="1">
      <c r="A20" s="1111" t="s">
        <v>51</v>
      </c>
      <c r="B20" s="1112"/>
      <c r="C20" s="22"/>
      <c r="D20" s="22"/>
      <c r="E20" s="181"/>
      <c r="F20" s="172"/>
      <c r="G20" s="145"/>
      <c r="H20" s="145"/>
      <c r="I20" s="145"/>
      <c r="J20" s="145"/>
      <c r="K20" s="381"/>
      <c r="L20" s="76"/>
      <c r="M20" s="359"/>
      <c r="N20" s="359"/>
      <c r="O20" s="22"/>
      <c r="P20" s="22"/>
      <c r="Q20" s="22"/>
      <c r="R20" s="359"/>
      <c r="S20" s="359"/>
      <c r="T20" s="359"/>
      <c r="U20" s="145">
        <f>398.05*4-T21</f>
        <v>-629.7340000000002</v>
      </c>
      <c r="V20" s="284"/>
    </row>
    <row r="21" spans="1:21" s="213" customFormat="1" ht="15" customHeight="1">
      <c r="A21" s="1030" t="s">
        <v>8</v>
      </c>
      <c r="B21" s="1030"/>
      <c r="C21" s="205"/>
      <c r="D21" s="205">
        <f>SUM(D12:D20)</f>
        <v>7</v>
      </c>
      <c r="E21" s="205">
        <f>SUM(E12:E20)</f>
        <v>4</v>
      </c>
      <c r="F21" s="205">
        <f>SUM(F12:F20)</f>
        <v>3</v>
      </c>
      <c r="G21" s="205">
        <f>SUM(G12:G20)</f>
        <v>7</v>
      </c>
      <c r="H21" s="205">
        <f>SUM(H15:H16)</f>
        <v>0</v>
      </c>
      <c r="I21" s="205"/>
      <c r="J21" s="205"/>
      <c r="K21" s="205"/>
      <c r="L21" s="596"/>
      <c r="M21" s="203">
        <f>SUM(M12:M20)</f>
        <v>246.75</v>
      </c>
      <c r="N21" s="204"/>
      <c r="O21" s="312">
        <f>SUM(O12:O20)</f>
        <v>5029.752</v>
      </c>
      <c r="P21" s="312">
        <f>SUM(P15:P20)</f>
        <v>106.38999999999999</v>
      </c>
      <c r="Q21" s="312">
        <f>SUM(Q12:Q20)</f>
        <v>29.85</v>
      </c>
      <c r="R21" s="203">
        <f>SUM(R12:R20)</f>
        <v>93.5</v>
      </c>
      <c r="S21" s="204"/>
      <c r="T21" s="204">
        <f>SUM(T15:T16)</f>
        <v>2221.934</v>
      </c>
      <c r="U21" s="204">
        <f>SUM(U12:U20)</f>
        <v>6883.9619999999995</v>
      </c>
    </row>
    <row r="22" spans="1:21" s="4" customFormat="1" ht="15" customHeight="1">
      <c r="A22" s="1027" t="s">
        <v>67</v>
      </c>
      <c r="B22" s="1027"/>
      <c r="C22" s="87"/>
      <c r="D22" s="87"/>
      <c r="E22" s="300"/>
      <c r="F22" s="87"/>
      <c r="G22" s="87"/>
      <c r="H22" s="87"/>
      <c r="I22" s="87"/>
      <c r="J22" s="87"/>
      <c r="K22" s="87"/>
      <c r="L22" s="103"/>
      <c r="M22" s="199"/>
      <c r="N22" s="196"/>
      <c r="O22" s="88"/>
      <c r="P22" s="88"/>
      <c r="Q22" s="88"/>
      <c r="R22" s="196"/>
      <c r="S22" s="196"/>
      <c r="T22" s="196"/>
      <c r="U22" s="211"/>
    </row>
    <row r="23" spans="1:21" s="50" customFormat="1" ht="57" customHeight="1">
      <c r="A23" s="39" t="s">
        <v>332</v>
      </c>
      <c r="B23" s="39" t="s">
        <v>333</v>
      </c>
      <c r="C23" s="39" t="s">
        <v>213</v>
      </c>
      <c r="D23" s="115" t="s">
        <v>36</v>
      </c>
      <c r="E23" s="115" t="s">
        <v>73</v>
      </c>
      <c r="F23" s="115" t="s">
        <v>74</v>
      </c>
      <c r="G23" s="115" t="s">
        <v>37</v>
      </c>
      <c r="H23" s="115" t="s">
        <v>38</v>
      </c>
      <c r="I23" s="115" t="s">
        <v>15</v>
      </c>
      <c r="J23" s="115" t="s">
        <v>214</v>
      </c>
      <c r="K23" s="115" t="s">
        <v>39</v>
      </c>
      <c r="L23" s="115" t="s">
        <v>84</v>
      </c>
      <c r="M23" s="360" t="s">
        <v>259</v>
      </c>
      <c r="N23" s="594" t="s">
        <v>40</v>
      </c>
      <c r="O23" s="360" t="s">
        <v>264</v>
      </c>
      <c r="P23" s="360" t="s">
        <v>239</v>
      </c>
      <c r="Q23" s="360" t="s">
        <v>265</v>
      </c>
      <c r="R23" s="360" t="s">
        <v>266</v>
      </c>
      <c r="S23" s="594" t="s">
        <v>40</v>
      </c>
      <c r="T23" s="360" t="s">
        <v>241</v>
      </c>
      <c r="U23" s="595" t="s">
        <v>58</v>
      </c>
    </row>
    <row r="24" spans="1:21" s="367" customFormat="1" ht="15.75" customHeight="1">
      <c r="A24" s="791"/>
      <c r="B24" s="791"/>
      <c r="C24" s="790"/>
      <c r="D24" s="14">
        <v>1</v>
      </c>
      <c r="E24" s="22">
        <v>1</v>
      </c>
      <c r="F24" s="22"/>
      <c r="G24" s="22">
        <v>1</v>
      </c>
      <c r="H24" s="77"/>
      <c r="I24" s="22" t="s">
        <v>212</v>
      </c>
      <c r="J24" s="22" t="s">
        <v>212</v>
      </c>
      <c r="K24" s="22">
        <v>2009</v>
      </c>
      <c r="L24" s="22" t="s">
        <v>366</v>
      </c>
      <c r="M24" s="1103">
        <v>0</v>
      </c>
      <c r="N24" s="1099">
        <v>20.384</v>
      </c>
      <c r="O24" s="1114">
        <f>M24*N24</f>
        <v>0</v>
      </c>
      <c r="P24" s="1114">
        <v>0</v>
      </c>
      <c r="Q24" s="1114">
        <v>0</v>
      </c>
      <c r="R24" s="1108">
        <v>8.5</v>
      </c>
      <c r="S24" s="1104">
        <v>23.76</v>
      </c>
      <c r="T24" s="1104">
        <f>R24*S24</f>
        <v>201.96</v>
      </c>
      <c r="U24" s="1104">
        <f>T24+Q24+P24+O24</f>
        <v>201.96</v>
      </c>
    </row>
    <row r="25" spans="1:21" s="367" customFormat="1" ht="15.75" customHeight="1">
      <c r="A25" s="791"/>
      <c r="B25" s="791"/>
      <c r="C25" s="792"/>
      <c r="D25" s="14">
        <v>1</v>
      </c>
      <c r="E25" s="22">
        <v>1</v>
      </c>
      <c r="F25" s="22"/>
      <c r="G25" s="22">
        <v>1</v>
      </c>
      <c r="H25" s="77"/>
      <c r="I25" s="22" t="s">
        <v>212</v>
      </c>
      <c r="J25" s="22" t="s">
        <v>212</v>
      </c>
      <c r="K25" s="22">
        <v>2006</v>
      </c>
      <c r="L25" s="22" t="s">
        <v>366</v>
      </c>
      <c r="M25" s="1103"/>
      <c r="N25" s="1099"/>
      <c r="O25" s="1114"/>
      <c r="P25" s="1114"/>
      <c r="Q25" s="1114"/>
      <c r="R25" s="1108"/>
      <c r="S25" s="1104"/>
      <c r="T25" s="1104"/>
      <c r="U25" s="1104"/>
    </row>
    <row r="26" spans="1:21" s="367" customFormat="1" ht="15.75" customHeight="1">
      <c r="A26" s="1111" t="s">
        <v>51</v>
      </c>
      <c r="B26" s="1112"/>
      <c r="C26" s="297"/>
      <c r="D26" s="14"/>
      <c r="E26" s="288"/>
      <c r="F26" s="288"/>
      <c r="G26" s="285"/>
      <c r="H26" s="77"/>
      <c r="I26" s="285"/>
      <c r="J26" s="285"/>
      <c r="K26" s="285"/>
      <c r="L26" s="22"/>
      <c r="M26" s="200"/>
      <c r="N26" s="195"/>
      <c r="O26" s="335"/>
      <c r="P26" s="335"/>
      <c r="Q26" s="335"/>
      <c r="R26" s="382"/>
      <c r="S26" s="368"/>
      <c r="T26" s="368"/>
      <c r="U26" s="368">
        <f>380.24-T24</f>
        <v>178.28</v>
      </c>
    </row>
    <row r="27" spans="1:21" s="213" customFormat="1" ht="15" customHeight="1">
      <c r="A27" s="1030" t="s">
        <v>95</v>
      </c>
      <c r="B27" s="1030"/>
      <c r="C27" s="205"/>
      <c r="D27" s="205">
        <f>SUM(D24:D25)</f>
        <v>2</v>
      </c>
      <c r="E27" s="205">
        <f>SUM(E24:E25)</f>
        <v>2</v>
      </c>
      <c r="F27" s="205">
        <v>0</v>
      </c>
      <c r="G27" s="205">
        <f>SUM(G24:G25)</f>
        <v>2</v>
      </c>
      <c r="H27" s="205">
        <v>0</v>
      </c>
      <c r="I27" s="205"/>
      <c r="J27" s="205"/>
      <c r="K27" s="205"/>
      <c r="L27" s="500"/>
      <c r="M27" s="203">
        <v>0</v>
      </c>
      <c r="N27" s="204"/>
      <c r="O27" s="312">
        <v>0</v>
      </c>
      <c r="P27" s="312">
        <f>SUM(P25)</f>
        <v>0</v>
      </c>
      <c r="Q27" s="312">
        <f>SUM(Q25)</f>
        <v>0</v>
      </c>
      <c r="R27" s="203">
        <f>SUM(R24)</f>
        <v>8.5</v>
      </c>
      <c r="S27" s="204">
        <f>SUM(S25)</f>
        <v>0</v>
      </c>
      <c r="T27" s="204">
        <f>SUM(T24:T26)</f>
        <v>201.96</v>
      </c>
      <c r="U27" s="204">
        <f>SUM(U24:U26)</f>
        <v>380.24</v>
      </c>
    </row>
    <row r="28" spans="1:21" s="213" customFormat="1" ht="15" customHeight="1">
      <c r="A28" s="1027" t="s">
        <v>68</v>
      </c>
      <c r="B28" s="1027"/>
      <c r="C28" s="87"/>
      <c r="D28" s="87"/>
      <c r="E28" s="300"/>
      <c r="F28" s="87"/>
      <c r="G28" s="87"/>
      <c r="H28" s="87"/>
      <c r="I28" s="87"/>
      <c r="J28" s="87"/>
      <c r="K28" s="87"/>
      <c r="L28" s="103"/>
      <c r="M28" s="199"/>
      <c r="N28" s="196"/>
      <c r="O28" s="88"/>
      <c r="P28" s="88"/>
      <c r="Q28" s="88"/>
      <c r="R28" s="196"/>
      <c r="S28" s="196"/>
      <c r="T28" s="196"/>
      <c r="U28" s="211"/>
    </row>
    <row r="29" spans="1:21" s="213" customFormat="1" ht="57.75" customHeight="1">
      <c r="A29" s="39" t="s">
        <v>332</v>
      </c>
      <c r="B29" s="39" t="s">
        <v>333</v>
      </c>
      <c r="C29" s="39" t="s">
        <v>213</v>
      </c>
      <c r="D29" s="115" t="s">
        <v>36</v>
      </c>
      <c r="E29" s="115" t="s">
        <v>73</v>
      </c>
      <c r="F29" s="115" t="s">
        <v>74</v>
      </c>
      <c r="G29" s="115" t="s">
        <v>37</v>
      </c>
      <c r="H29" s="115" t="s">
        <v>38</v>
      </c>
      <c r="I29" s="115" t="s">
        <v>15</v>
      </c>
      <c r="J29" s="115" t="s">
        <v>214</v>
      </c>
      <c r="K29" s="115" t="s">
        <v>39</v>
      </c>
      <c r="L29" s="115" t="s">
        <v>84</v>
      </c>
      <c r="M29" s="360" t="s">
        <v>259</v>
      </c>
      <c r="N29" s="594" t="s">
        <v>40</v>
      </c>
      <c r="O29" s="360" t="s">
        <v>264</v>
      </c>
      <c r="P29" s="360" t="s">
        <v>239</v>
      </c>
      <c r="Q29" s="360" t="s">
        <v>265</v>
      </c>
      <c r="R29" s="360" t="s">
        <v>266</v>
      </c>
      <c r="S29" s="594" t="s">
        <v>40</v>
      </c>
      <c r="T29" s="360" t="s">
        <v>241</v>
      </c>
      <c r="U29" s="595" t="s">
        <v>58</v>
      </c>
    </row>
    <row r="30" spans="1:21" s="213" customFormat="1" ht="15" customHeight="1">
      <c r="A30" s="1030" t="s">
        <v>478</v>
      </c>
      <c r="B30" s="1030"/>
      <c r="C30" s="205"/>
      <c r="D30" s="205">
        <v>0</v>
      </c>
      <c r="E30" s="205">
        <v>0</v>
      </c>
      <c r="F30" s="205">
        <v>0</v>
      </c>
      <c r="G30" s="205">
        <v>0</v>
      </c>
      <c r="H30" s="205">
        <v>0</v>
      </c>
      <c r="I30" s="205"/>
      <c r="J30" s="205"/>
      <c r="K30" s="205"/>
      <c r="L30" s="500"/>
      <c r="M30" s="203">
        <v>0</v>
      </c>
      <c r="N30" s="204"/>
      <c r="O30" s="312">
        <v>0</v>
      </c>
      <c r="P30" s="312">
        <f>SUM(P27)</f>
        <v>0</v>
      </c>
      <c r="Q30" s="312">
        <f>SUM(Q27)</f>
        <v>0</v>
      </c>
      <c r="R30" s="203">
        <f>SUM(R26)</f>
        <v>0</v>
      </c>
      <c r="S30" s="204">
        <f>SUM(S27)</f>
        <v>0</v>
      </c>
      <c r="T30" s="204">
        <v>0</v>
      </c>
      <c r="U30" s="204">
        <v>0</v>
      </c>
    </row>
    <row r="31" spans="1:21" s="213" customFormat="1" ht="15" customHeight="1">
      <c r="A31" s="1027" t="s">
        <v>65</v>
      </c>
      <c r="B31" s="1027"/>
      <c r="C31" s="87"/>
      <c r="D31" s="87"/>
      <c r="E31" s="300"/>
      <c r="F31" s="87"/>
      <c r="G31" s="87"/>
      <c r="H31" s="87"/>
      <c r="I31" s="87"/>
      <c r="J31" s="87"/>
      <c r="K31" s="87"/>
      <c r="L31" s="103"/>
      <c r="M31" s="199"/>
      <c r="N31" s="196"/>
      <c r="O31" s="88"/>
      <c r="P31" s="88"/>
      <c r="Q31" s="88"/>
      <c r="R31" s="196"/>
      <c r="S31" s="196"/>
      <c r="T31" s="196"/>
      <c r="U31" s="211"/>
    </row>
    <row r="32" spans="1:21" s="213" customFormat="1" ht="57.75" customHeight="1">
      <c r="A32" s="39" t="s">
        <v>332</v>
      </c>
      <c r="B32" s="39" t="s">
        <v>333</v>
      </c>
      <c r="C32" s="39" t="s">
        <v>213</v>
      </c>
      <c r="D32" s="115" t="s">
        <v>36</v>
      </c>
      <c r="E32" s="115" t="s">
        <v>73</v>
      </c>
      <c r="F32" s="115" t="s">
        <v>74</v>
      </c>
      <c r="G32" s="115" t="s">
        <v>37</v>
      </c>
      <c r="H32" s="115" t="s">
        <v>38</v>
      </c>
      <c r="I32" s="115" t="s">
        <v>15</v>
      </c>
      <c r="J32" s="115" t="s">
        <v>214</v>
      </c>
      <c r="K32" s="115" t="s">
        <v>39</v>
      </c>
      <c r="L32" s="115" t="s">
        <v>84</v>
      </c>
      <c r="M32" s="360" t="s">
        <v>259</v>
      </c>
      <c r="N32" s="594" t="s">
        <v>40</v>
      </c>
      <c r="O32" s="360" t="s">
        <v>264</v>
      </c>
      <c r="P32" s="360" t="s">
        <v>239</v>
      </c>
      <c r="Q32" s="360" t="s">
        <v>265</v>
      </c>
      <c r="R32" s="360" t="s">
        <v>266</v>
      </c>
      <c r="S32" s="594" t="s">
        <v>40</v>
      </c>
      <c r="T32" s="360" t="s">
        <v>241</v>
      </c>
      <c r="U32" s="595" t="s">
        <v>58</v>
      </c>
    </row>
    <row r="33" spans="1:21" s="213" customFormat="1" ht="15" customHeight="1">
      <c r="A33" s="1030" t="s">
        <v>340</v>
      </c>
      <c r="B33" s="1030"/>
      <c r="C33" s="205"/>
      <c r="D33" s="205">
        <f>SUM(D28:D30)</f>
        <v>0</v>
      </c>
      <c r="E33" s="205">
        <v>0</v>
      </c>
      <c r="F33" s="205">
        <v>0</v>
      </c>
      <c r="G33" s="205">
        <f>SUM(G28:G30)</f>
        <v>0</v>
      </c>
      <c r="H33" s="205">
        <v>0</v>
      </c>
      <c r="I33" s="205"/>
      <c r="J33" s="205"/>
      <c r="K33" s="205"/>
      <c r="L33" s="500"/>
      <c r="M33" s="203">
        <v>0</v>
      </c>
      <c r="N33" s="204"/>
      <c r="O33" s="312">
        <v>0</v>
      </c>
      <c r="P33" s="312">
        <f>SUM(P30)</f>
        <v>0</v>
      </c>
      <c r="Q33" s="312">
        <f>SUM(Q30)</f>
        <v>0</v>
      </c>
      <c r="R33" s="203">
        <f>SUM(R28)</f>
        <v>0</v>
      </c>
      <c r="S33" s="204">
        <f>SUM(S30)</f>
        <v>0</v>
      </c>
      <c r="T33" s="204">
        <f>SUM(T28:T31)</f>
        <v>0</v>
      </c>
      <c r="U33" s="204">
        <v>0</v>
      </c>
    </row>
    <row r="34" spans="1:21" s="213" customFormat="1" ht="15" customHeight="1">
      <c r="A34" s="1027" t="s">
        <v>69</v>
      </c>
      <c r="B34" s="1027"/>
      <c r="C34" s="87"/>
      <c r="D34" s="87"/>
      <c r="E34" s="300"/>
      <c r="F34" s="87"/>
      <c r="G34" s="87"/>
      <c r="H34" s="87"/>
      <c r="I34" s="87"/>
      <c r="J34" s="87"/>
      <c r="K34" s="87"/>
      <c r="L34" s="103"/>
      <c r="M34" s="199"/>
      <c r="N34" s="196"/>
      <c r="O34" s="88"/>
      <c r="P34" s="88"/>
      <c r="Q34" s="88"/>
      <c r="R34" s="196"/>
      <c r="S34" s="196"/>
      <c r="T34" s="196"/>
      <c r="U34" s="211"/>
    </row>
    <row r="35" spans="1:21" s="213" customFormat="1" ht="57.75" customHeight="1">
      <c r="A35" s="39" t="s">
        <v>332</v>
      </c>
      <c r="B35" s="39" t="s">
        <v>333</v>
      </c>
      <c r="C35" s="39" t="s">
        <v>213</v>
      </c>
      <c r="D35" s="115" t="s">
        <v>36</v>
      </c>
      <c r="E35" s="115" t="s">
        <v>73</v>
      </c>
      <c r="F35" s="115" t="s">
        <v>74</v>
      </c>
      <c r="G35" s="115" t="s">
        <v>37</v>
      </c>
      <c r="H35" s="115" t="s">
        <v>38</v>
      </c>
      <c r="I35" s="115" t="s">
        <v>15</v>
      </c>
      <c r="J35" s="115" t="s">
        <v>214</v>
      </c>
      <c r="K35" s="115" t="s">
        <v>39</v>
      </c>
      <c r="L35" s="115" t="s">
        <v>84</v>
      </c>
      <c r="M35" s="360" t="s">
        <v>259</v>
      </c>
      <c r="N35" s="594" t="s">
        <v>40</v>
      </c>
      <c r="O35" s="360" t="s">
        <v>264</v>
      </c>
      <c r="P35" s="360" t="s">
        <v>239</v>
      </c>
      <c r="Q35" s="360" t="s">
        <v>265</v>
      </c>
      <c r="R35" s="360" t="s">
        <v>266</v>
      </c>
      <c r="S35" s="594" t="s">
        <v>40</v>
      </c>
      <c r="T35" s="360" t="s">
        <v>241</v>
      </c>
      <c r="U35" s="595" t="s">
        <v>58</v>
      </c>
    </row>
    <row r="36" spans="1:21" s="213" customFormat="1" ht="15" customHeight="1">
      <c r="A36" s="1030" t="s">
        <v>13</v>
      </c>
      <c r="B36" s="1030"/>
      <c r="C36" s="205"/>
      <c r="D36" s="205">
        <f>SUM(D31:D33)</f>
        <v>0</v>
      </c>
      <c r="E36" s="205">
        <f>SUM(E31:E33)</f>
        <v>0</v>
      </c>
      <c r="F36" s="205">
        <v>0</v>
      </c>
      <c r="G36" s="205">
        <f>SUM(G31:G33)</f>
        <v>0</v>
      </c>
      <c r="H36" s="205">
        <v>0</v>
      </c>
      <c r="I36" s="205"/>
      <c r="J36" s="205"/>
      <c r="K36" s="205"/>
      <c r="L36" s="500"/>
      <c r="M36" s="203">
        <v>0</v>
      </c>
      <c r="N36" s="204"/>
      <c r="O36" s="312">
        <v>0</v>
      </c>
      <c r="P36" s="312">
        <f>SUM(P33)</f>
        <v>0</v>
      </c>
      <c r="Q36" s="312">
        <f>SUM(Q33)</f>
        <v>0</v>
      </c>
      <c r="R36" s="203">
        <f>SUM(R31)</f>
        <v>0</v>
      </c>
      <c r="S36" s="204">
        <f>SUM(S33)</f>
        <v>0</v>
      </c>
      <c r="T36" s="204">
        <v>0</v>
      </c>
      <c r="U36" s="204">
        <f>SUM(U31:U34)</f>
        <v>0</v>
      </c>
    </row>
    <row r="37" spans="1:21" s="4" customFormat="1" ht="15" customHeight="1">
      <c r="A37" s="1027" t="s">
        <v>70</v>
      </c>
      <c r="B37" s="1027"/>
      <c r="C37" s="87"/>
      <c r="D37" s="365"/>
      <c r="E37" s="314"/>
      <c r="F37" s="314"/>
      <c r="G37" s="314"/>
      <c r="H37" s="314"/>
      <c r="I37" s="315"/>
      <c r="J37" s="314"/>
      <c r="K37" s="314"/>
      <c r="L37" s="199"/>
      <c r="M37" s="315"/>
      <c r="N37" s="315"/>
      <c r="O37" s="199"/>
      <c r="P37" s="199"/>
      <c r="Q37" s="199"/>
      <c r="R37" s="199"/>
      <c r="S37" s="315"/>
      <c r="T37" s="103"/>
      <c r="U37" s="103"/>
    </row>
    <row r="38" spans="1:21" s="111" customFormat="1" ht="15" customHeight="1">
      <c r="A38" s="791"/>
      <c r="B38" s="791"/>
      <c r="C38" s="792"/>
      <c r="D38" s="1">
        <v>1</v>
      </c>
      <c r="E38" s="22">
        <v>1</v>
      </c>
      <c r="F38" s="77"/>
      <c r="G38" s="77">
        <v>1</v>
      </c>
      <c r="H38" s="430"/>
      <c r="I38" s="22" t="s">
        <v>212</v>
      </c>
      <c r="J38" s="222" t="s">
        <v>1</v>
      </c>
      <c r="K38" s="78">
        <v>2003</v>
      </c>
      <c r="L38" s="22" t="s">
        <v>366</v>
      </c>
      <c r="M38" s="22">
        <v>21</v>
      </c>
      <c r="N38" s="195">
        <v>20.384</v>
      </c>
      <c r="O38" s="335">
        <f>M38*N38</f>
        <v>428.064</v>
      </c>
      <c r="P38" s="335">
        <v>0</v>
      </c>
      <c r="Q38" s="335">
        <v>0</v>
      </c>
      <c r="R38" s="198">
        <v>16.5</v>
      </c>
      <c r="S38" s="325">
        <f>22.85*1.04</f>
        <v>23.764000000000003</v>
      </c>
      <c r="T38" s="195">
        <f>R38*S38</f>
        <v>392.10600000000005</v>
      </c>
      <c r="U38" s="338">
        <f>T38+Q38+P38+O38</f>
        <v>820.1700000000001</v>
      </c>
    </row>
    <row r="39" spans="1:21" s="111" customFormat="1" ht="15" customHeight="1">
      <c r="A39" s="1111" t="s">
        <v>51</v>
      </c>
      <c r="B39" s="1112"/>
      <c r="C39" s="279"/>
      <c r="D39" s="305"/>
      <c r="E39" s="305"/>
      <c r="F39" s="305"/>
      <c r="G39" s="305"/>
      <c r="H39" s="305"/>
      <c r="I39" s="335"/>
      <c r="J39" s="305"/>
      <c r="K39" s="305"/>
      <c r="L39" s="198"/>
      <c r="M39" s="198"/>
      <c r="N39" s="195"/>
      <c r="O39" s="378"/>
      <c r="P39" s="378"/>
      <c r="Q39" s="378"/>
      <c r="R39" s="198"/>
      <c r="S39" s="340"/>
      <c r="T39" s="340"/>
      <c r="U39" s="338">
        <f>133.67*4-T40</f>
        <v>142.5739999999999</v>
      </c>
    </row>
    <row r="40" spans="1:21" s="213" customFormat="1" ht="15" customHeight="1">
      <c r="A40" s="1030" t="s">
        <v>341</v>
      </c>
      <c r="B40" s="1030"/>
      <c r="C40" s="202"/>
      <c r="D40" s="205">
        <f>SUM(D38:D39)</f>
        <v>1</v>
      </c>
      <c r="E40" s="205">
        <f>SUM(E38:E38)</f>
        <v>1</v>
      </c>
      <c r="F40" s="205">
        <f>SUM(F38:F38)</f>
        <v>0</v>
      </c>
      <c r="G40" s="205">
        <f>SUM(G38:G38)</f>
        <v>1</v>
      </c>
      <c r="H40" s="205">
        <f>SUM(H38:H38)</f>
        <v>0</v>
      </c>
      <c r="I40" s="312"/>
      <c r="J40" s="207"/>
      <c r="K40" s="207"/>
      <c r="L40" s="203"/>
      <c r="M40" s="203">
        <f>SUM(M38:M39)</f>
        <v>21</v>
      </c>
      <c r="N40" s="312"/>
      <c r="O40" s="312">
        <f>SUM(O38:O39)</f>
        <v>428.064</v>
      </c>
      <c r="P40" s="312">
        <f>SUM(P38:P39)</f>
        <v>0</v>
      </c>
      <c r="Q40" s="312">
        <f>SUM(Q38:Q39)</f>
        <v>0</v>
      </c>
      <c r="R40" s="203">
        <f>SUM(R38:R39)</f>
        <v>16.5</v>
      </c>
      <c r="S40" s="312"/>
      <c r="T40" s="204">
        <f>SUM(T38:T39)</f>
        <v>392.10600000000005</v>
      </c>
      <c r="U40" s="204">
        <f>SUM(U38:U39)</f>
        <v>962.7439999999999</v>
      </c>
    </row>
    <row r="41" spans="1:21" s="213" customFormat="1" ht="15" customHeight="1">
      <c r="A41" s="1027" t="s">
        <v>71</v>
      </c>
      <c r="B41" s="1027"/>
      <c r="C41" s="87"/>
      <c r="D41" s="87"/>
      <c r="E41" s="300"/>
      <c r="F41" s="87"/>
      <c r="G41" s="87"/>
      <c r="H41" s="87"/>
      <c r="I41" s="87"/>
      <c r="J41" s="87"/>
      <c r="K41" s="87"/>
      <c r="L41" s="103"/>
      <c r="M41" s="199"/>
      <c r="N41" s="196"/>
      <c r="O41" s="88"/>
      <c r="P41" s="88"/>
      <c r="Q41" s="88"/>
      <c r="R41" s="196"/>
      <c r="S41" s="196"/>
      <c r="T41" s="196"/>
      <c r="U41" s="211"/>
    </row>
    <row r="42" spans="1:21" s="213" customFormat="1" ht="57.75" customHeight="1">
      <c r="A42" s="39" t="s">
        <v>332</v>
      </c>
      <c r="B42" s="39" t="s">
        <v>333</v>
      </c>
      <c r="C42" s="39" t="s">
        <v>213</v>
      </c>
      <c r="D42" s="115" t="s">
        <v>36</v>
      </c>
      <c r="E42" s="115" t="s">
        <v>73</v>
      </c>
      <c r="F42" s="115" t="s">
        <v>74</v>
      </c>
      <c r="G42" s="115" t="s">
        <v>37</v>
      </c>
      <c r="H42" s="115" t="s">
        <v>38</v>
      </c>
      <c r="I42" s="115" t="s">
        <v>15</v>
      </c>
      <c r="J42" s="115" t="s">
        <v>214</v>
      </c>
      <c r="K42" s="115" t="s">
        <v>39</v>
      </c>
      <c r="L42" s="115" t="s">
        <v>84</v>
      </c>
      <c r="M42" s="360" t="s">
        <v>259</v>
      </c>
      <c r="N42" s="594" t="s">
        <v>40</v>
      </c>
      <c r="O42" s="360" t="s">
        <v>264</v>
      </c>
      <c r="P42" s="360" t="s">
        <v>239</v>
      </c>
      <c r="Q42" s="360" t="s">
        <v>265</v>
      </c>
      <c r="R42" s="360" t="s">
        <v>266</v>
      </c>
      <c r="S42" s="594" t="s">
        <v>40</v>
      </c>
      <c r="T42" s="360" t="s">
        <v>241</v>
      </c>
      <c r="U42" s="595" t="s">
        <v>58</v>
      </c>
    </row>
    <row r="43" spans="1:21" s="213" customFormat="1" ht="15" customHeight="1">
      <c r="A43" s="1030" t="s">
        <v>22</v>
      </c>
      <c r="B43" s="1030"/>
      <c r="C43" s="205"/>
      <c r="D43" s="205">
        <f>SUM(D39:D40)</f>
        <v>1</v>
      </c>
      <c r="E43" s="205">
        <f>SUM(E39:E40)</f>
        <v>1</v>
      </c>
      <c r="F43" s="205">
        <v>0</v>
      </c>
      <c r="G43" s="205">
        <f>SUM(G39:G40)</f>
        <v>1</v>
      </c>
      <c r="H43" s="205">
        <v>0</v>
      </c>
      <c r="I43" s="205"/>
      <c r="J43" s="205"/>
      <c r="K43" s="205"/>
      <c r="L43" s="500"/>
      <c r="M43" s="203">
        <v>0</v>
      </c>
      <c r="N43" s="204"/>
      <c r="O43" s="312">
        <v>0</v>
      </c>
      <c r="P43" s="312">
        <f>SUM(P40)</f>
        <v>0</v>
      </c>
      <c r="Q43" s="312">
        <f>SUM(Q40)</f>
        <v>0</v>
      </c>
      <c r="R43" s="203">
        <f>SUM(R39)</f>
        <v>0</v>
      </c>
      <c r="S43" s="204">
        <f>SUM(S40)</f>
        <v>0</v>
      </c>
      <c r="T43" s="204">
        <v>0</v>
      </c>
      <c r="U43" s="204">
        <f>SUM(U39:U41)</f>
        <v>1105.3179999999998</v>
      </c>
    </row>
    <row r="44" spans="1:21" s="213" customFormat="1" ht="15" customHeight="1">
      <c r="A44" s="1027" t="s">
        <v>72</v>
      </c>
      <c r="B44" s="1027"/>
      <c r="C44" s="87"/>
      <c r="D44" s="87"/>
      <c r="E44" s="300"/>
      <c r="F44" s="87"/>
      <c r="G44" s="87"/>
      <c r="H44" s="87"/>
      <c r="I44" s="87"/>
      <c r="J44" s="87"/>
      <c r="K44" s="87"/>
      <c r="L44" s="103"/>
      <c r="M44" s="199"/>
      <c r="N44" s="196"/>
      <c r="O44" s="88"/>
      <c r="P44" s="88"/>
      <c r="Q44" s="88"/>
      <c r="R44" s="196"/>
      <c r="S44" s="196"/>
      <c r="T44" s="196"/>
      <c r="U44" s="211"/>
    </row>
    <row r="45" spans="1:21" s="213" customFormat="1" ht="57.75" customHeight="1">
      <c r="A45" s="39" t="s">
        <v>332</v>
      </c>
      <c r="B45" s="39" t="s">
        <v>333</v>
      </c>
      <c r="C45" s="39" t="s">
        <v>213</v>
      </c>
      <c r="D45" s="115" t="s">
        <v>36</v>
      </c>
      <c r="E45" s="115" t="s">
        <v>73</v>
      </c>
      <c r="F45" s="115" t="s">
        <v>74</v>
      </c>
      <c r="G45" s="115" t="s">
        <v>37</v>
      </c>
      <c r="H45" s="115" t="s">
        <v>38</v>
      </c>
      <c r="I45" s="115" t="s">
        <v>15</v>
      </c>
      <c r="J45" s="115" t="s">
        <v>214</v>
      </c>
      <c r="K45" s="115" t="s">
        <v>39</v>
      </c>
      <c r="L45" s="115" t="s">
        <v>84</v>
      </c>
      <c r="M45" s="360" t="s">
        <v>259</v>
      </c>
      <c r="N45" s="594" t="s">
        <v>40</v>
      </c>
      <c r="O45" s="360" t="s">
        <v>264</v>
      </c>
      <c r="P45" s="360" t="s">
        <v>239</v>
      </c>
      <c r="Q45" s="360" t="s">
        <v>265</v>
      </c>
      <c r="R45" s="360" t="s">
        <v>266</v>
      </c>
      <c r="S45" s="594" t="s">
        <v>40</v>
      </c>
      <c r="T45" s="360" t="s">
        <v>241</v>
      </c>
      <c r="U45" s="595" t="s">
        <v>58</v>
      </c>
    </row>
    <row r="46" spans="1:21" s="213" customFormat="1" ht="15" customHeight="1">
      <c r="A46" s="1030" t="s">
        <v>328</v>
      </c>
      <c r="B46" s="1030"/>
      <c r="C46" s="205"/>
      <c r="D46" s="205">
        <f>SUM(D41:D43)</f>
        <v>1</v>
      </c>
      <c r="E46" s="205">
        <f>SUM(E41:E43)</f>
        <v>1</v>
      </c>
      <c r="F46" s="205">
        <v>0</v>
      </c>
      <c r="G46" s="205">
        <f>SUM(G41:G43)</f>
        <v>1</v>
      </c>
      <c r="H46" s="205">
        <v>0</v>
      </c>
      <c r="I46" s="205"/>
      <c r="J46" s="205"/>
      <c r="K46" s="205"/>
      <c r="L46" s="500"/>
      <c r="M46" s="203">
        <v>0</v>
      </c>
      <c r="N46" s="204"/>
      <c r="O46" s="312">
        <v>0</v>
      </c>
      <c r="P46" s="312">
        <f>SUM(P43)</f>
        <v>0</v>
      </c>
      <c r="Q46" s="312">
        <f>SUM(Q43)</f>
        <v>0</v>
      </c>
      <c r="R46" s="203">
        <f>SUM(R41)</f>
        <v>0</v>
      </c>
      <c r="S46" s="204">
        <f>SUM(S43)</f>
        <v>0</v>
      </c>
      <c r="T46" s="204">
        <v>0</v>
      </c>
      <c r="U46" s="204">
        <f>SUM(U41:U44)</f>
        <v>1105.3179999999998</v>
      </c>
    </row>
    <row r="47" spans="1:21" s="66" customFormat="1" ht="15" customHeight="1">
      <c r="A47" s="1037" t="s">
        <v>468</v>
      </c>
      <c r="B47" s="1037"/>
      <c r="C47" s="107"/>
      <c r="D47" s="101">
        <f>D40+D27+D21+D9</f>
        <v>13</v>
      </c>
      <c r="E47" s="101">
        <f>E40+E27+E21+E9</f>
        <v>8</v>
      </c>
      <c r="F47" s="101">
        <f>F40+F27+F21+F9</f>
        <v>5</v>
      </c>
      <c r="G47" s="101">
        <f>G40+G27+G21+G9</f>
        <v>12</v>
      </c>
      <c r="H47" s="101">
        <f>H40+H27+H21+H9</f>
        <v>1</v>
      </c>
      <c r="I47" s="150"/>
      <c r="J47" s="350"/>
      <c r="K47" s="350"/>
      <c r="L47" s="350"/>
      <c r="M47" s="217">
        <f>M40+M27+M21+M9</f>
        <v>336</v>
      </c>
      <c r="N47" s="363"/>
      <c r="O47" s="257"/>
      <c r="P47" s="257"/>
      <c r="Q47" s="257"/>
      <c r="R47" s="217">
        <f>R40+R27+R21+R9</f>
        <v>127.25</v>
      </c>
      <c r="S47" s="363"/>
      <c r="T47" s="350"/>
      <c r="U47" s="201">
        <f>U40+U27+U21+U9</f>
        <v>10117.194</v>
      </c>
    </row>
    <row r="48" spans="10:12" ht="12.75">
      <c r="J48" s="292"/>
      <c r="K48" s="292"/>
      <c r="L48" s="278"/>
    </row>
  </sheetData>
  <mergeCells count="52">
    <mergeCell ref="A47:B47"/>
    <mergeCell ref="A22:B22"/>
    <mergeCell ref="A27:B27"/>
    <mergeCell ref="A37:B37"/>
    <mergeCell ref="A40:B40"/>
    <mergeCell ref="A28:B28"/>
    <mergeCell ref="A31:B31"/>
    <mergeCell ref="A34:B34"/>
    <mergeCell ref="A30:B30"/>
    <mergeCell ref="A33:B33"/>
    <mergeCell ref="A3:B3"/>
    <mergeCell ref="A9:B9"/>
    <mergeCell ref="A10:B10"/>
    <mergeCell ref="A21:B21"/>
    <mergeCell ref="A1:T1"/>
    <mergeCell ref="A2:U2"/>
    <mergeCell ref="Q17:Q18"/>
    <mergeCell ref="R17:R18"/>
    <mergeCell ref="S17:S18"/>
    <mergeCell ref="T17:T18"/>
    <mergeCell ref="U17:U18"/>
    <mergeCell ref="P12:P14"/>
    <mergeCell ref="Q12:Q14"/>
    <mergeCell ref="M17:M18"/>
    <mergeCell ref="N17:N18"/>
    <mergeCell ref="O17:O18"/>
    <mergeCell ref="P17:P18"/>
    <mergeCell ref="L12:L14"/>
    <mergeCell ref="M12:M14"/>
    <mergeCell ref="N12:N14"/>
    <mergeCell ref="O12:O14"/>
    <mergeCell ref="U12:U14"/>
    <mergeCell ref="T12:T14"/>
    <mergeCell ref="S12:S14"/>
    <mergeCell ref="R12:R14"/>
    <mergeCell ref="M24:M25"/>
    <mergeCell ref="N24:N25"/>
    <mergeCell ref="O24:O25"/>
    <mergeCell ref="P24:P25"/>
    <mergeCell ref="U24:U25"/>
    <mergeCell ref="Q24:Q25"/>
    <mergeCell ref="R24:R25"/>
    <mergeCell ref="S24:S25"/>
    <mergeCell ref="T24:T25"/>
    <mergeCell ref="A46:B46"/>
    <mergeCell ref="A20:B20"/>
    <mergeCell ref="A26:B26"/>
    <mergeCell ref="A39:B39"/>
    <mergeCell ref="A36:B36"/>
    <mergeCell ref="A41:B41"/>
    <mergeCell ref="A43:B43"/>
    <mergeCell ref="A44:B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F36"/>
  <sheetViews>
    <sheetView workbookViewId="0" topLeftCell="A4">
      <selection activeCell="A15" sqref="A15:IV16"/>
    </sheetView>
  </sheetViews>
  <sheetFormatPr defaultColWidth="9.140625" defaultRowHeight="12.75"/>
  <cols>
    <col min="1" max="1" width="53.421875" style="55" customWidth="1"/>
    <col min="2" max="2" width="55.57421875" style="54" customWidth="1"/>
    <col min="3" max="3" width="7.7109375" style="91" customWidth="1"/>
    <col min="4" max="4" width="14.7109375" style="25" customWidth="1"/>
    <col min="5" max="5" width="17.7109375" style="25" customWidth="1"/>
    <col min="6" max="6" width="17.8515625" style="54" customWidth="1"/>
    <col min="7" max="16384" width="11.57421875" style="54" customWidth="1"/>
  </cols>
  <sheetData>
    <row r="1" spans="1:6" s="48" customFormat="1" ht="30" customHeight="1">
      <c r="A1" s="1007" t="s">
        <v>364</v>
      </c>
      <c r="B1" s="1008"/>
      <c r="C1" s="1008"/>
      <c r="D1" s="1008"/>
      <c r="E1" s="1008"/>
      <c r="F1" s="458">
        <v>40070176</v>
      </c>
    </row>
    <row r="2" spans="1:6" s="49" customFormat="1" ht="48.75" customHeight="1">
      <c r="A2" s="1041" t="s">
        <v>414</v>
      </c>
      <c r="B2" s="1054"/>
      <c r="C2" s="1054"/>
      <c r="D2" s="1054"/>
      <c r="E2" s="1054"/>
      <c r="F2" s="1055"/>
    </row>
    <row r="3" spans="1:6" s="50" customFormat="1" ht="15" customHeight="1">
      <c r="A3" s="114" t="s">
        <v>56</v>
      </c>
      <c r="B3" s="16" t="s">
        <v>105</v>
      </c>
      <c r="C3" s="93" t="s">
        <v>106</v>
      </c>
      <c r="D3" s="26" t="s">
        <v>40</v>
      </c>
      <c r="E3" s="26" t="s">
        <v>107</v>
      </c>
      <c r="F3" s="62" t="s">
        <v>58</v>
      </c>
    </row>
    <row r="4" spans="1:6" s="50" customFormat="1" ht="15" customHeight="1">
      <c r="A4" s="221" t="s">
        <v>66</v>
      </c>
      <c r="B4" s="689"/>
      <c r="C4" s="94"/>
      <c r="D4" s="60"/>
      <c r="E4" s="60"/>
      <c r="F4" s="61"/>
    </row>
    <row r="5" spans="1:6" s="50" customFormat="1" ht="15" customHeight="1">
      <c r="A5" s="687" t="s">
        <v>75</v>
      </c>
      <c r="B5" s="85"/>
      <c r="C5" s="194">
        <v>0</v>
      </c>
      <c r="D5" s="186">
        <v>0</v>
      </c>
      <c r="E5" s="186">
        <v>0</v>
      </c>
      <c r="F5" s="149">
        <f>SUM(F4:F4)</f>
        <v>0</v>
      </c>
    </row>
    <row r="6" spans="1:6" s="51" customFormat="1" ht="15" customHeight="1">
      <c r="A6" s="221" t="s">
        <v>64</v>
      </c>
      <c r="B6" s="17"/>
      <c r="C6" s="94"/>
      <c r="D6" s="60"/>
      <c r="E6" s="60"/>
      <c r="F6" s="61"/>
    </row>
    <row r="7" spans="1:6" s="53" customFormat="1" ht="15" customHeight="1">
      <c r="A7" s="119" t="s">
        <v>469</v>
      </c>
      <c r="B7" s="126" t="s">
        <v>14</v>
      </c>
      <c r="C7" s="129">
        <v>1.5</v>
      </c>
      <c r="D7" s="156">
        <v>30</v>
      </c>
      <c r="E7" s="156">
        <v>15</v>
      </c>
      <c r="F7" s="145">
        <v>60</v>
      </c>
    </row>
    <row r="8" spans="1:6" s="161" customFormat="1" ht="15" customHeight="1">
      <c r="A8" s="687" t="s">
        <v>8</v>
      </c>
      <c r="B8" s="85"/>
      <c r="C8" s="194"/>
      <c r="D8" s="186"/>
      <c r="E8" s="186"/>
      <c r="F8" s="149">
        <f>SUM(F7:F7)</f>
        <v>60</v>
      </c>
    </row>
    <row r="9" spans="1:6" s="161" customFormat="1" ht="15" customHeight="1">
      <c r="A9" s="221" t="s">
        <v>67</v>
      </c>
      <c r="B9" s="689"/>
      <c r="C9" s="94"/>
      <c r="D9" s="60"/>
      <c r="E9" s="60"/>
      <c r="F9" s="61"/>
    </row>
    <row r="10" spans="1:6" s="161" customFormat="1" ht="15" customHeight="1">
      <c r="A10" s="687" t="s">
        <v>95</v>
      </c>
      <c r="B10" s="85"/>
      <c r="C10" s="194">
        <v>0</v>
      </c>
      <c r="D10" s="186">
        <v>0</v>
      </c>
      <c r="E10" s="186">
        <v>0</v>
      </c>
      <c r="F10" s="149">
        <f>SUM(F9:F9)</f>
        <v>0</v>
      </c>
    </row>
    <row r="11" spans="1:6" s="51" customFormat="1" ht="15" customHeight="1">
      <c r="A11" s="221" t="s">
        <v>68</v>
      </c>
      <c r="B11" s="17"/>
      <c r="C11" s="94"/>
      <c r="D11" s="60"/>
      <c r="E11" s="60"/>
      <c r="F11" s="61"/>
    </row>
    <row r="12" spans="1:6" s="53" customFormat="1" ht="15" customHeight="1">
      <c r="A12" s="119" t="s">
        <v>471</v>
      </c>
      <c r="B12" s="126" t="s">
        <v>14</v>
      </c>
      <c r="C12" s="129">
        <v>1.5</v>
      </c>
      <c r="D12" s="156">
        <v>30</v>
      </c>
      <c r="E12" s="156">
        <v>30</v>
      </c>
      <c r="F12" s="145">
        <v>75</v>
      </c>
    </row>
    <row r="13" spans="1:6" s="53" customFormat="1" ht="15" customHeight="1">
      <c r="A13" s="119" t="s">
        <v>472</v>
      </c>
      <c r="B13" s="126" t="s">
        <v>14</v>
      </c>
      <c r="C13" s="129">
        <v>1.5</v>
      </c>
      <c r="D13" s="156">
        <v>30</v>
      </c>
      <c r="E13" s="156">
        <v>15</v>
      </c>
      <c r="F13" s="145">
        <v>60</v>
      </c>
    </row>
    <row r="14" spans="1:6" s="161" customFormat="1" ht="15" customHeight="1">
      <c r="A14" s="687" t="s">
        <v>478</v>
      </c>
      <c r="B14" s="85"/>
      <c r="C14" s="194"/>
      <c r="D14" s="186"/>
      <c r="E14" s="186"/>
      <c r="F14" s="149">
        <f>SUM(F12:F13)</f>
        <v>135</v>
      </c>
    </row>
    <row r="15" spans="1:6" s="161" customFormat="1" ht="15" customHeight="1">
      <c r="A15" s="221" t="s">
        <v>65</v>
      </c>
      <c r="B15" s="689"/>
      <c r="C15" s="94"/>
      <c r="D15" s="60"/>
      <c r="E15" s="60"/>
      <c r="F15" s="61"/>
    </row>
    <row r="16" spans="1:6" s="161" customFormat="1" ht="15" customHeight="1">
      <c r="A16" s="687" t="s">
        <v>340</v>
      </c>
      <c r="B16" s="85"/>
      <c r="C16" s="194">
        <v>0</v>
      </c>
      <c r="D16" s="186">
        <v>0</v>
      </c>
      <c r="E16" s="186">
        <v>0</v>
      </c>
      <c r="F16" s="149">
        <f>SUM(F15:F15)</f>
        <v>0</v>
      </c>
    </row>
    <row r="17" spans="1:6" s="51" customFormat="1" ht="15" customHeight="1">
      <c r="A17" s="221" t="s">
        <v>69</v>
      </c>
      <c r="B17" s="17"/>
      <c r="C17" s="94"/>
      <c r="D17" s="60"/>
      <c r="E17" s="60"/>
      <c r="F17" s="61"/>
    </row>
    <row r="18" spans="1:6" s="53" customFormat="1" ht="15" customHeight="1">
      <c r="A18" s="119" t="s">
        <v>473</v>
      </c>
      <c r="B18" s="126" t="s">
        <v>14</v>
      </c>
      <c r="C18" s="129">
        <v>2</v>
      </c>
      <c r="D18" s="156">
        <v>30</v>
      </c>
      <c r="E18" s="156">
        <v>30</v>
      </c>
      <c r="F18" s="145">
        <v>90</v>
      </c>
    </row>
    <row r="19" spans="1:6" s="53" customFormat="1" ht="15" customHeight="1">
      <c r="A19" s="119" t="s">
        <v>474</v>
      </c>
      <c r="B19" s="126" t="s">
        <v>14</v>
      </c>
      <c r="C19" s="129">
        <v>1</v>
      </c>
      <c r="D19" s="156">
        <v>30</v>
      </c>
      <c r="E19" s="156">
        <v>20</v>
      </c>
      <c r="F19" s="145">
        <v>50</v>
      </c>
    </row>
    <row r="20" spans="1:6" s="161" customFormat="1" ht="15" customHeight="1">
      <c r="A20" s="687" t="s">
        <v>13</v>
      </c>
      <c r="B20" s="85"/>
      <c r="C20" s="194"/>
      <c r="D20" s="186"/>
      <c r="E20" s="186"/>
      <c r="F20" s="149">
        <f>SUM(F18:F19)</f>
        <v>140</v>
      </c>
    </row>
    <row r="21" spans="1:6" s="51" customFormat="1" ht="15" customHeight="1">
      <c r="A21" s="221" t="s">
        <v>70</v>
      </c>
      <c r="B21" s="17"/>
      <c r="C21" s="94"/>
      <c r="D21" s="154"/>
      <c r="E21" s="154"/>
      <c r="F21" s="155"/>
    </row>
    <row r="22" spans="1:6" ht="15" customHeight="1">
      <c r="A22" s="125" t="s">
        <v>470</v>
      </c>
      <c r="B22" s="126" t="s">
        <v>14</v>
      </c>
      <c r="C22" s="89">
        <v>2</v>
      </c>
      <c r="D22" s="152">
        <v>30</v>
      </c>
      <c r="E22" s="152">
        <v>30</v>
      </c>
      <c r="F22" s="151">
        <v>90</v>
      </c>
    </row>
    <row r="23" spans="1:6" ht="15" customHeight="1">
      <c r="A23" s="125" t="s">
        <v>475</v>
      </c>
      <c r="B23" s="126" t="s">
        <v>14</v>
      </c>
      <c r="C23" s="89">
        <v>1</v>
      </c>
      <c r="D23" s="152">
        <v>30</v>
      </c>
      <c r="E23" s="152">
        <v>20</v>
      </c>
      <c r="F23" s="151">
        <v>50</v>
      </c>
    </row>
    <row r="24" spans="1:6" s="161" customFormat="1" ht="15" customHeight="1">
      <c r="A24" s="687" t="s">
        <v>341</v>
      </c>
      <c r="B24" s="85"/>
      <c r="C24" s="194"/>
      <c r="D24" s="186"/>
      <c r="E24" s="186"/>
      <c r="F24" s="149">
        <f>SUM(F22:F23)</f>
        <v>140</v>
      </c>
    </row>
    <row r="25" spans="1:6" s="161" customFormat="1" ht="15" customHeight="1">
      <c r="A25" s="221" t="s">
        <v>71</v>
      </c>
      <c r="B25" s="689"/>
      <c r="C25" s="94"/>
      <c r="D25" s="60"/>
      <c r="E25" s="60"/>
      <c r="F25" s="61"/>
    </row>
    <row r="26" spans="1:6" s="161" customFormat="1" ht="15" customHeight="1">
      <c r="A26" s="687" t="s">
        <v>22</v>
      </c>
      <c r="B26" s="85"/>
      <c r="C26" s="194">
        <v>0</v>
      </c>
      <c r="D26" s="186">
        <v>0</v>
      </c>
      <c r="E26" s="186">
        <v>0</v>
      </c>
      <c r="F26" s="149">
        <f>SUM(F25:F25)</f>
        <v>0</v>
      </c>
    </row>
    <row r="27" spans="1:6" s="51" customFormat="1" ht="15" customHeight="1">
      <c r="A27" s="221" t="s">
        <v>72</v>
      </c>
      <c r="B27" s="17"/>
      <c r="C27" s="94"/>
      <c r="D27" s="154"/>
      <c r="E27" s="154"/>
      <c r="F27" s="177"/>
    </row>
    <row r="28" spans="1:6" ht="15" customHeight="1">
      <c r="A28" s="119" t="s">
        <v>108</v>
      </c>
      <c r="B28" s="126" t="s">
        <v>14</v>
      </c>
      <c r="C28" s="90">
        <f>3.7+0.4</f>
        <v>4.1000000000000005</v>
      </c>
      <c r="D28" s="189">
        <v>30</v>
      </c>
      <c r="E28" s="189">
        <v>45</v>
      </c>
      <c r="F28" s="146">
        <f>C28*D28+E28</f>
        <v>168</v>
      </c>
    </row>
    <row r="29" spans="1:6" ht="15" customHeight="1">
      <c r="A29" s="119" t="s">
        <v>109</v>
      </c>
      <c r="B29" s="126" t="s">
        <v>14</v>
      </c>
      <c r="C29" s="90">
        <v>2</v>
      </c>
      <c r="D29" s="189">
        <v>30</v>
      </c>
      <c r="E29" s="189">
        <v>40</v>
      </c>
      <c r="F29" s="146">
        <f>C29*D29+E29</f>
        <v>100</v>
      </c>
    </row>
    <row r="30" spans="1:6" ht="15" customHeight="1">
      <c r="A30" s="119" t="s">
        <v>476</v>
      </c>
      <c r="B30" s="126" t="s">
        <v>14</v>
      </c>
      <c r="C30" s="90">
        <v>1.45</v>
      </c>
      <c r="D30" s="189">
        <v>30</v>
      </c>
      <c r="E30" s="189">
        <v>15</v>
      </c>
      <c r="F30" s="146">
        <f>C30*D30+E30</f>
        <v>58.5</v>
      </c>
    </row>
    <row r="31" spans="1:6" s="161" customFormat="1" ht="15" customHeight="1">
      <c r="A31" s="688" t="s">
        <v>328</v>
      </c>
      <c r="B31" s="188"/>
      <c r="C31" s="190"/>
      <c r="D31" s="191"/>
      <c r="E31" s="192"/>
      <c r="F31" s="149">
        <f>SUM(F28:F30)</f>
        <v>326.5</v>
      </c>
    </row>
    <row r="32" spans="1:6" s="162" customFormat="1" ht="15" customHeight="1">
      <c r="A32" s="100" t="s">
        <v>227</v>
      </c>
      <c r="B32" s="100"/>
      <c r="C32" s="193"/>
      <c r="D32" s="102"/>
      <c r="E32" s="150"/>
      <c r="F32" s="150">
        <f>F31+F24+F20+F14+F8</f>
        <v>801.5</v>
      </c>
    </row>
    <row r="36" ht="12.75">
      <c r="A36" s="92"/>
    </row>
  </sheetData>
  <mergeCells count="2">
    <mergeCell ref="A2:F2"/>
    <mergeCell ref="A1:E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F13"/>
  <sheetViews>
    <sheetView workbookViewId="0" topLeftCell="A1">
      <selection activeCell="B7" sqref="B7"/>
    </sheetView>
  </sheetViews>
  <sheetFormatPr defaultColWidth="9.140625" defaultRowHeight="12.75"/>
  <cols>
    <col min="1" max="1" width="32.00390625" style="55" customWidth="1"/>
    <col min="2" max="2" width="28.00390625" style="54" customWidth="1"/>
    <col min="3" max="3" width="28.57421875" style="24" customWidth="1"/>
    <col min="4" max="4" width="20.28125" style="81" customWidth="1"/>
    <col min="5" max="5" width="19.57421875" style="25" customWidth="1"/>
    <col min="6" max="6" width="18.8515625" style="25" customWidth="1"/>
    <col min="7" max="16384" width="11.57421875" style="54" customWidth="1"/>
  </cols>
  <sheetData>
    <row r="1" spans="1:6" s="48" customFormat="1" ht="30" customHeight="1">
      <c r="A1" s="1007" t="s">
        <v>425</v>
      </c>
      <c r="B1" s="1008"/>
      <c r="C1" s="1008"/>
      <c r="D1" s="1008"/>
      <c r="E1" s="1008"/>
      <c r="F1" s="458">
        <v>40070170</v>
      </c>
    </row>
    <row r="2" spans="1:6" s="49" customFormat="1" ht="44.25" customHeight="1">
      <c r="A2" s="1044" t="s">
        <v>387</v>
      </c>
      <c r="B2" s="1061"/>
      <c r="C2" s="1092"/>
      <c r="D2" s="1092"/>
      <c r="E2" s="1092"/>
      <c r="F2" s="1092"/>
    </row>
    <row r="3" spans="1:6" s="50" customFormat="1" ht="15" customHeight="1">
      <c r="A3" s="19" t="s">
        <v>41</v>
      </c>
      <c r="B3" s="19" t="s">
        <v>380</v>
      </c>
      <c r="C3" s="19" t="s">
        <v>376</v>
      </c>
      <c r="D3" s="19" t="s">
        <v>378</v>
      </c>
      <c r="E3" s="130" t="s">
        <v>377</v>
      </c>
      <c r="F3" s="19" t="s">
        <v>379</v>
      </c>
    </row>
    <row r="4" spans="1:6" s="51" customFormat="1" ht="15" customHeight="1">
      <c r="A4" s="31" t="s">
        <v>72</v>
      </c>
      <c r="B4" s="29"/>
      <c r="C4" s="18"/>
      <c r="D4" s="61"/>
      <c r="E4" s="61"/>
      <c r="F4" s="61"/>
    </row>
    <row r="5" spans="1:6" s="53" customFormat="1" ht="15" customHeight="1">
      <c r="A5" s="98" t="s">
        <v>441</v>
      </c>
      <c r="B5" s="32" t="s">
        <v>267</v>
      </c>
      <c r="C5" s="96" t="s">
        <v>381</v>
      </c>
      <c r="D5" s="97">
        <v>68</v>
      </c>
      <c r="E5" s="166">
        <v>25</v>
      </c>
      <c r="F5" s="166">
        <f>D5*E5</f>
        <v>1700</v>
      </c>
    </row>
    <row r="6" spans="1:6" s="53" customFormat="1" ht="15" customHeight="1">
      <c r="A6" s="35" t="s">
        <v>467</v>
      </c>
      <c r="B6" s="33" t="s">
        <v>268</v>
      </c>
      <c r="C6" s="21" t="s">
        <v>454</v>
      </c>
      <c r="D6" s="77">
        <v>65</v>
      </c>
      <c r="E6" s="145">
        <v>34</v>
      </c>
      <c r="F6" s="145">
        <f>D6*E6</f>
        <v>2210</v>
      </c>
    </row>
    <row r="7" spans="1:6" s="53" customFormat="1" ht="15" customHeight="1">
      <c r="A7" s="35" t="s">
        <v>466</v>
      </c>
      <c r="B7" s="33" t="s">
        <v>269</v>
      </c>
      <c r="C7" s="96" t="s">
        <v>381</v>
      </c>
      <c r="D7" s="77">
        <v>41</v>
      </c>
      <c r="E7" s="145">
        <v>32</v>
      </c>
      <c r="F7" s="146">
        <f>D7*E7</f>
        <v>1312</v>
      </c>
    </row>
    <row r="8" spans="1:6" s="66" customFormat="1" ht="15" customHeight="1">
      <c r="A8" s="100" t="s">
        <v>227</v>
      </c>
      <c r="B8" s="99"/>
      <c r="C8" s="100"/>
      <c r="D8" s="101"/>
      <c r="E8" s="150"/>
      <c r="F8" s="150">
        <f>SUM(F5:F7)</f>
        <v>5222</v>
      </c>
    </row>
    <row r="10" spans="2:4" ht="12.75">
      <c r="B10" s="80"/>
      <c r="C10" s="367"/>
      <c r="D10" s="605"/>
    </row>
    <row r="13" ht="12.75">
      <c r="C13" s="95"/>
    </row>
  </sheetData>
  <mergeCells count="2">
    <mergeCell ref="A2:F2"/>
    <mergeCell ref="A1:E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7"/>
  </sheetPr>
  <dimension ref="A1:V74"/>
  <sheetViews>
    <sheetView workbookViewId="0" topLeftCell="N1">
      <selection activeCell="A65" sqref="A65:C68"/>
    </sheetView>
  </sheetViews>
  <sheetFormatPr defaultColWidth="9.140625" defaultRowHeight="12.75"/>
  <cols>
    <col min="1" max="1" width="26.8515625" style="4" customWidth="1"/>
    <col min="2" max="3" width="20.7109375" style="4" customWidth="1"/>
    <col min="4" max="4" width="7.57421875" style="4" customWidth="1"/>
    <col min="5" max="5" width="5.7109375" style="303" customWidth="1"/>
    <col min="6" max="6" width="5.7109375" style="3" customWidth="1"/>
    <col min="7" max="8" width="9.7109375" style="3" customWidth="1"/>
    <col min="9" max="10" width="13.7109375" style="3" customWidth="1"/>
    <col min="11" max="11" width="10.140625" style="3" customWidth="1"/>
    <col min="12" max="12" width="24.28125" style="9" customWidth="1"/>
    <col min="13" max="13" width="16.28125" style="4" customWidth="1"/>
    <col min="14" max="14" width="11.57421875" style="11" customWidth="1"/>
    <col min="15" max="15" width="17.140625" style="11" customWidth="1"/>
    <col min="16" max="17" width="16.00390625" style="11" customWidth="1"/>
    <col min="18" max="18" width="18.00390625" style="210" customWidth="1"/>
    <col min="19" max="19" width="12.140625" style="11" customWidth="1"/>
    <col min="20" max="20" width="17.140625" style="210" customWidth="1"/>
    <col min="21" max="21" width="17.00390625" style="212" customWidth="1"/>
    <col min="22" max="22" width="20.00390625" style="9" customWidth="1"/>
    <col min="23" max="16384" width="11.57421875" style="9" customWidth="1"/>
  </cols>
  <sheetData>
    <row r="1" spans="1:21" s="48" customFormat="1" ht="30" customHeight="1">
      <c r="A1" s="1007" t="s">
        <v>98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458">
        <v>40070174</v>
      </c>
    </row>
    <row r="2" spans="1:21" s="49" customFormat="1" ht="39.75" customHeight="1">
      <c r="A2" s="1044" t="s">
        <v>225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  <c r="P2" s="1044"/>
      <c r="Q2" s="1044"/>
      <c r="R2" s="1044"/>
      <c r="S2" s="1044"/>
      <c r="T2" s="1044"/>
      <c r="U2" s="1044"/>
    </row>
    <row r="3" spans="1:21" s="4" customFormat="1" ht="15" customHeight="1">
      <c r="A3" s="1027" t="s">
        <v>66</v>
      </c>
      <c r="B3" s="1027"/>
      <c r="C3" s="87"/>
      <c r="D3" s="87"/>
      <c r="E3" s="300"/>
      <c r="F3" s="87"/>
      <c r="G3" s="87"/>
      <c r="H3" s="87"/>
      <c r="I3" s="87"/>
      <c r="J3" s="87"/>
      <c r="K3" s="87"/>
      <c r="L3" s="593"/>
      <c r="M3" s="44"/>
      <c r="N3" s="67"/>
      <c r="O3" s="67"/>
      <c r="P3" s="67"/>
      <c r="Q3" s="67"/>
      <c r="R3" s="67"/>
      <c r="S3" s="67"/>
      <c r="T3" s="196"/>
      <c r="U3" s="211"/>
    </row>
    <row r="4" spans="1:21" s="50" customFormat="1" ht="48.75" customHeight="1">
      <c r="A4" s="39" t="s">
        <v>332</v>
      </c>
      <c r="B4" s="39" t="s">
        <v>333</v>
      </c>
      <c r="C4" s="39" t="s">
        <v>213</v>
      </c>
      <c r="D4" s="115" t="s">
        <v>36</v>
      </c>
      <c r="E4" s="115" t="s">
        <v>73</v>
      </c>
      <c r="F4" s="115" t="s">
        <v>74</v>
      </c>
      <c r="G4" s="115" t="s">
        <v>37</v>
      </c>
      <c r="H4" s="115" t="s">
        <v>38</v>
      </c>
      <c r="I4" s="115" t="s">
        <v>15</v>
      </c>
      <c r="J4" s="115" t="s">
        <v>214</v>
      </c>
      <c r="K4" s="115" t="s">
        <v>39</v>
      </c>
      <c r="L4" s="631" t="s">
        <v>84</v>
      </c>
      <c r="M4" s="632" t="s">
        <v>271</v>
      </c>
      <c r="N4" s="633" t="s">
        <v>40</v>
      </c>
      <c r="O4" s="632" t="s">
        <v>238</v>
      </c>
      <c r="P4" s="634" t="s">
        <v>260</v>
      </c>
      <c r="Q4" s="634" t="s">
        <v>265</v>
      </c>
      <c r="R4" s="632" t="s">
        <v>240</v>
      </c>
      <c r="S4" s="633" t="s">
        <v>40</v>
      </c>
      <c r="T4" s="632" t="s">
        <v>261</v>
      </c>
      <c r="U4" s="595" t="s">
        <v>58</v>
      </c>
    </row>
    <row r="5" spans="1:21" s="421" customFormat="1" ht="15" customHeight="1">
      <c r="A5" s="794"/>
      <c r="B5" s="795"/>
      <c r="C5" s="790"/>
      <c r="D5" s="7">
        <v>1</v>
      </c>
      <c r="E5" s="380">
        <v>1</v>
      </c>
      <c r="F5" s="380"/>
      <c r="G5" s="380">
        <v>1</v>
      </c>
      <c r="H5" s="380"/>
      <c r="I5" s="469" t="s">
        <v>212</v>
      </c>
      <c r="J5" s="469" t="s">
        <v>212</v>
      </c>
      <c r="K5" s="380">
        <v>1994</v>
      </c>
      <c r="L5" s="22" t="s">
        <v>276</v>
      </c>
      <c r="M5" s="382">
        <v>0</v>
      </c>
      <c r="N5" s="368">
        <v>20.384</v>
      </c>
      <c r="O5" s="431">
        <f>M5*N5</f>
        <v>0</v>
      </c>
      <c r="P5" s="23">
        <v>0</v>
      </c>
      <c r="Q5" s="23">
        <v>0</v>
      </c>
      <c r="R5" s="382">
        <v>10.25</v>
      </c>
      <c r="S5" s="368">
        <v>23.73</v>
      </c>
      <c r="T5" s="368">
        <f>R5*S5</f>
        <v>243.23250000000002</v>
      </c>
      <c r="U5" s="368">
        <f>T5+Q5+P5+O5</f>
        <v>243.23250000000002</v>
      </c>
    </row>
    <row r="6" spans="1:21" s="323" customFormat="1" ht="15" customHeight="1">
      <c r="A6" s="769" t="s">
        <v>51</v>
      </c>
      <c r="B6" s="686"/>
      <c r="C6" s="285"/>
      <c r="D6" s="7"/>
      <c r="E6" s="603"/>
      <c r="F6" s="380"/>
      <c r="G6" s="380"/>
      <c r="H6" s="298"/>
      <c r="I6" s="384"/>
      <c r="J6" s="384"/>
      <c r="K6" s="604"/>
      <c r="L6" s="22"/>
      <c r="M6" s="22"/>
      <c r="N6" s="325"/>
      <c r="O6" s="377"/>
      <c r="P6" s="23"/>
      <c r="Q6" s="23"/>
      <c r="R6" s="324"/>
      <c r="S6" s="325"/>
      <c r="T6" s="325"/>
      <c r="U6" s="325">
        <f>250.18*4-T7</f>
        <v>757.4875</v>
      </c>
    </row>
    <row r="7" spans="1:21" s="206" customFormat="1" ht="15" customHeight="1">
      <c r="A7" s="1030" t="s">
        <v>75</v>
      </c>
      <c r="B7" s="1030"/>
      <c r="C7" s="104"/>
      <c r="D7" s="104">
        <f>SUM(D5:D6)</f>
        <v>1</v>
      </c>
      <c r="E7" s="104">
        <f>SUM(E5:E5)</f>
        <v>1</v>
      </c>
      <c r="F7" s="104">
        <v>0</v>
      </c>
      <c r="G7" s="104">
        <f>SUM(G5:G6)</f>
        <v>1</v>
      </c>
      <c r="H7" s="104">
        <f>SUM(H5:H5)</f>
        <v>0</v>
      </c>
      <c r="I7" s="104"/>
      <c r="J7" s="104"/>
      <c r="K7" s="104"/>
      <c r="L7" s="596"/>
      <c r="M7" s="203">
        <f>SUM(M5:M6)</f>
        <v>0</v>
      </c>
      <c r="N7" s="204"/>
      <c r="O7" s="312">
        <f>SUM(O5:O6)</f>
        <v>0</v>
      </c>
      <c r="P7" s="312">
        <f>SUM(P5:P6)</f>
        <v>0</v>
      </c>
      <c r="Q7" s="312">
        <f>SUM(O7:P7)</f>
        <v>0</v>
      </c>
      <c r="R7" s="203">
        <f>SUM(R5:R6)</f>
        <v>10.25</v>
      </c>
      <c r="S7" s="204"/>
      <c r="T7" s="204">
        <f>SUM(T5:T6)</f>
        <v>243.23250000000002</v>
      </c>
      <c r="U7" s="204">
        <f>SUM(U5:U6)</f>
        <v>1000.72</v>
      </c>
    </row>
    <row r="8" spans="1:21" s="4" customFormat="1" ht="15" customHeight="1">
      <c r="A8" s="1027" t="s">
        <v>64</v>
      </c>
      <c r="B8" s="1027"/>
      <c r="C8" s="87"/>
      <c r="D8" s="87"/>
      <c r="E8" s="300"/>
      <c r="F8" s="87"/>
      <c r="G8" s="87"/>
      <c r="H8" s="87"/>
      <c r="I8" s="87"/>
      <c r="J8" s="87"/>
      <c r="K8" s="87"/>
      <c r="L8" s="597"/>
      <c r="M8" s="199"/>
      <c r="N8" s="196"/>
      <c r="O8" s="88"/>
      <c r="P8" s="88"/>
      <c r="Q8" s="88"/>
      <c r="R8" s="196"/>
      <c r="S8" s="196"/>
      <c r="T8" s="196"/>
      <c r="U8" s="211"/>
    </row>
    <row r="9" spans="1:21" s="50" customFormat="1" ht="48.75" customHeight="1">
      <c r="A9" s="39" t="s">
        <v>332</v>
      </c>
      <c r="B9" s="39" t="s">
        <v>333</v>
      </c>
      <c r="C9" s="39" t="s">
        <v>213</v>
      </c>
      <c r="D9" s="115" t="s">
        <v>36</v>
      </c>
      <c r="E9" s="115" t="s">
        <v>73</v>
      </c>
      <c r="F9" s="115" t="s">
        <v>74</v>
      </c>
      <c r="G9" s="115" t="s">
        <v>37</v>
      </c>
      <c r="H9" s="115" t="s">
        <v>38</v>
      </c>
      <c r="I9" s="115" t="s">
        <v>15</v>
      </c>
      <c r="J9" s="115" t="s">
        <v>214</v>
      </c>
      <c r="K9" s="115" t="s">
        <v>39</v>
      </c>
      <c r="L9" s="115" t="s">
        <v>84</v>
      </c>
      <c r="M9" s="632" t="s">
        <v>271</v>
      </c>
      <c r="N9" s="633" t="s">
        <v>40</v>
      </c>
      <c r="O9" s="632" t="s">
        <v>238</v>
      </c>
      <c r="P9" s="634" t="s">
        <v>260</v>
      </c>
      <c r="Q9" s="634" t="s">
        <v>265</v>
      </c>
      <c r="R9" s="632" t="s">
        <v>240</v>
      </c>
      <c r="S9" s="633" t="s">
        <v>40</v>
      </c>
      <c r="T9" s="632" t="s">
        <v>261</v>
      </c>
      <c r="U9" s="595" t="s">
        <v>58</v>
      </c>
    </row>
    <row r="10" spans="1:21" s="367" customFormat="1" ht="15.75" customHeight="1">
      <c r="A10" s="791"/>
      <c r="B10" s="791"/>
      <c r="C10" s="790"/>
      <c r="D10" s="14">
        <v>1</v>
      </c>
      <c r="E10" s="22">
        <v>1</v>
      </c>
      <c r="F10" s="22"/>
      <c r="G10" s="22">
        <v>1</v>
      </c>
      <c r="H10" s="77"/>
      <c r="I10" s="22" t="s">
        <v>212</v>
      </c>
      <c r="J10" s="22" t="s">
        <v>212</v>
      </c>
      <c r="K10" s="22">
        <v>1996</v>
      </c>
      <c r="L10" s="1102" t="s">
        <v>276</v>
      </c>
      <c r="M10" s="1117">
        <v>246</v>
      </c>
      <c r="N10" s="1098">
        <v>20.384</v>
      </c>
      <c r="O10" s="1122">
        <f>M10*N10</f>
        <v>5014.464</v>
      </c>
      <c r="P10" s="1122">
        <v>684.82</v>
      </c>
      <c r="Q10" s="1122">
        <v>1267.3032</v>
      </c>
      <c r="R10" s="1116">
        <v>30.75</v>
      </c>
      <c r="S10" s="1104">
        <v>23.73</v>
      </c>
      <c r="T10" s="1098">
        <f>R10*S10</f>
        <v>729.6975</v>
      </c>
      <c r="U10" s="1099">
        <f>T10+Q10+P10+O10</f>
        <v>7696.2847</v>
      </c>
    </row>
    <row r="11" spans="1:21" s="367" customFormat="1" ht="15.75" customHeight="1">
      <c r="A11" s="794"/>
      <c r="B11" s="795"/>
      <c r="C11" s="790"/>
      <c r="D11" s="14">
        <v>1</v>
      </c>
      <c r="E11" s="22">
        <v>1</v>
      </c>
      <c r="F11" s="22"/>
      <c r="G11" s="22">
        <v>1</v>
      </c>
      <c r="H11" s="77"/>
      <c r="I11" s="22" t="s">
        <v>212</v>
      </c>
      <c r="J11" s="22" t="s">
        <v>212</v>
      </c>
      <c r="K11" s="22">
        <v>1999</v>
      </c>
      <c r="L11" s="1102"/>
      <c r="M11" s="1117"/>
      <c r="N11" s="1098"/>
      <c r="O11" s="1122"/>
      <c r="P11" s="1122"/>
      <c r="Q11" s="1122"/>
      <c r="R11" s="1116"/>
      <c r="S11" s="1104"/>
      <c r="T11" s="1098"/>
      <c r="U11" s="1099"/>
    </row>
    <row r="12" spans="1:21" s="367" customFormat="1" ht="15.75" customHeight="1">
      <c r="A12" s="791"/>
      <c r="B12" s="791"/>
      <c r="C12" s="790"/>
      <c r="D12" s="14">
        <v>1</v>
      </c>
      <c r="E12" s="22">
        <v>1</v>
      </c>
      <c r="F12" s="22"/>
      <c r="G12" s="22">
        <v>1</v>
      </c>
      <c r="H12" s="77"/>
      <c r="I12" s="22" t="s">
        <v>212</v>
      </c>
      <c r="J12" s="22" t="s">
        <v>212</v>
      </c>
      <c r="K12" s="22">
        <v>1996</v>
      </c>
      <c r="L12" s="1102"/>
      <c r="M12" s="1117"/>
      <c r="N12" s="1098"/>
      <c r="O12" s="1122"/>
      <c r="P12" s="1122"/>
      <c r="Q12" s="1122"/>
      <c r="R12" s="1116"/>
      <c r="S12" s="1104"/>
      <c r="T12" s="1098"/>
      <c r="U12" s="1099"/>
    </row>
    <row r="13" spans="1:21" s="367" customFormat="1" ht="15.75" customHeight="1">
      <c r="A13" s="794"/>
      <c r="B13" s="791"/>
      <c r="C13" s="790"/>
      <c r="D13" s="14">
        <v>1</v>
      </c>
      <c r="E13" s="22">
        <v>1</v>
      </c>
      <c r="F13" s="22"/>
      <c r="G13" s="22"/>
      <c r="H13" s="22">
        <v>1</v>
      </c>
      <c r="I13" s="22" t="s">
        <v>500</v>
      </c>
      <c r="J13" s="22" t="s">
        <v>500</v>
      </c>
      <c r="K13" s="22">
        <v>1994</v>
      </c>
      <c r="L13" s="1102" t="s">
        <v>366</v>
      </c>
      <c r="M13" s="1103">
        <v>362.5</v>
      </c>
      <c r="N13" s="1104">
        <v>20.384</v>
      </c>
      <c r="O13" s="1114">
        <f>M13*N13</f>
        <v>7389.2</v>
      </c>
      <c r="P13" s="1119">
        <v>414.39</v>
      </c>
      <c r="Q13" s="1119">
        <v>225.58</v>
      </c>
      <c r="R13" s="1108">
        <v>0</v>
      </c>
      <c r="S13" s="1104">
        <v>23.73</v>
      </c>
      <c r="T13" s="1104">
        <v>0</v>
      </c>
      <c r="U13" s="1104">
        <f>T13+Q13+P13+O13</f>
        <v>8029.17</v>
      </c>
    </row>
    <row r="14" spans="1:21" s="367" customFormat="1" ht="15.75" customHeight="1">
      <c r="A14" s="794"/>
      <c r="B14" s="795"/>
      <c r="C14" s="790"/>
      <c r="D14" s="14">
        <v>1</v>
      </c>
      <c r="E14" s="22"/>
      <c r="F14" s="22">
        <v>1</v>
      </c>
      <c r="G14" s="22"/>
      <c r="H14" s="22">
        <v>1</v>
      </c>
      <c r="I14" s="22" t="s">
        <v>327</v>
      </c>
      <c r="J14" s="15" t="s">
        <v>327</v>
      </c>
      <c r="K14" s="22">
        <v>1993</v>
      </c>
      <c r="L14" s="1102"/>
      <c r="M14" s="1103"/>
      <c r="N14" s="1104"/>
      <c r="O14" s="1114"/>
      <c r="P14" s="1119"/>
      <c r="Q14" s="1119"/>
      <c r="R14" s="1108"/>
      <c r="S14" s="1104"/>
      <c r="T14" s="1104"/>
      <c r="U14" s="1104"/>
    </row>
    <row r="15" spans="1:21" s="367" customFormat="1" ht="15.75" customHeight="1">
      <c r="A15" s="794"/>
      <c r="B15" s="795"/>
      <c r="C15" s="790"/>
      <c r="D15" s="14"/>
      <c r="E15" s="22"/>
      <c r="F15" s="22"/>
      <c r="G15" s="22"/>
      <c r="H15" s="22"/>
      <c r="I15" s="22"/>
      <c r="J15" s="15"/>
      <c r="K15" s="22"/>
      <c r="L15" s="22"/>
      <c r="M15" s="200"/>
      <c r="N15" s="368"/>
      <c r="O15" s="335"/>
      <c r="P15" s="23"/>
      <c r="Q15" s="23"/>
      <c r="R15" s="382"/>
      <c r="S15" s="368"/>
      <c r="T15" s="368"/>
      <c r="U15" s="368">
        <v>1250.08</v>
      </c>
    </row>
    <row r="16" spans="1:21" s="367" customFormat="1" ht="15.75" customHeight="1">
      <c r="A16" s="794"/>
      <c r="B16" s="794"/>
      <c r="C16" s="792"/>
      <c r="D16" s="14">
        <v>1</v>
      </c>
      <c r="E16" s="22">
        <v>1</v>
      </c>
      <c r="F16" s="22"/>
      <c r="G16" s="22">
        <v>1</v>
      </c>
      <c r="H16" s="22"/>
      <c r="I16" s="22" t="s">
        <v>212</v>
      </c>
      <c r="J16" s="22" t="s">
        <v>212</v>
      </c>
      <c r="K16" s="22">
        <v>2000</v>
      </c>
      <c r="L16" s="22" t="s">
        <v>276</v>
      </c>
      <c r="M16" s="22">
        <v>260</v>
      </c>
      <c r="N16" s="368">
        <v>20.384</v>
      </c>
      <c r="O16" s="335">
        <f>M16*N16</f>
        <v>5299.84</v>
      </c>
      <c r="P16" s="23">
        <v>276.97</v>
      </c>
      <c r="Q16" s="23">
        <f>(44.88+51.15+37.85+53.15)*1.04+(86.5+118.4+97.5+62.5)*1.04</f>
        <v>574.0072</v>
      </c>
      <c r="R16" s="382">
        <v>53</v>
      </c>
      <c r="S16" s="368">
        <v>23.73</v>
      </c>
      <c r="T16" s="383">
        <f>R16*S16</f>
        <v>1257.69</v>
      </c>
      <c r="U16" s="383">
        <f>T16+Q16+P16+O16</f>
        <v>7408.5072</v>
      </c>
    </row>
    <row r="17" spans="1:21" s="367" customFormat="1" ht="15.75" customHeight="1">
      <c r="A17" s="793"/>
      <c r="B17" s="839"/>
      <c r="C17" s="801"/>
      <c r="D17" s="409">
        <v>1</v>
      </c>
      <c r="E17" s="22">
        <v>1</v>
      </c>
      <c r="F17" s="409"/>
      <c r="G17" s="22">
        <v>1</v>
      </c>
      <c r="H17" s="409"/>
      <c r="I17" s="22" t="s">
        <v>212</v>
      </c>
      <c r="J17" s="22" t="s">
        <v>212</v>
      </c>
      <c r="K17" s="22">
        <v>2001</v>
      </c>
      <c r="L17" s="22" t="s">
        <v>53</v>
      </c>
      <c r="M17" s="200">
        <v>64.5</v>
      </c>
      <c r="N17" s="338">
        <v>20.384</v>
      </c>
      <c r="O17" s="335">
        <f>M17*N17</f>
        <v>1314.768</v>
      </c>
      <c r="P17" s="23">
        <v>81.45</v>
      </c>
      <c r="Q17" s="23">
        <v>105.3</v>
      </c>
      <c r="R17" s="382">
        <v>0</v>
      </c>
      <c r="S17" s="368">
        <v>23.73</v>
      </c>
      <c r="T17" s="383">
        <f>R17*S17</f>
        <v>0</v>
      </c>
      <c r="U17" s="383">
        <f>T17+Q17+P17+O17</f>
        <v>1501.518</v>
      </c>
    </row>
    <row r="18" spans="1:22" s="80" customFormat="1" ht="15" customHeight="1">
      <c r="A18" s="769" t="s">
        <v>51</v>
      </c>
      <c r="B18" s="36"/>
      <c r="C18" s="22"/>
      <c r="D18" s="22"/>
      <c r="E18" s="181"/>
      <c r="F18" s="172"/>
      <c r="G18" s="145"/>
      <c r="H18" s="145"/>
      <c r="I18" s="145"/>
      <c r="J18" s="145"/>
      <c r="K18" s="381"/>
      <c r="L18" s="76"/>
      <c r="M18" s="359"/>
      <c r="N18" s="359"/>
      <c r="O18" s="22"/>
      <c r="P18" s="22"/>
      <c r="Q18" s="22"/>
      <c r="R18" s="359"/>
      <c r="S18" s="359"/>
      <c r="T18" s="359"/>
      <c r="U18" s="145">
        <f>4538.56-T20</f>
        <v>2551.1725000000006</v>
      </c>
      <c r="V18" s="284"/>
    </row>
    <row r="19" spans="1:22" s="80" customFormat="1" ht="15" customHeight="1">
      <c r="A19" s="769" t="s">
        <v>270</v>
      </c>
      <c r="B19" s="36"/>
      <c r="C19" s="22"/>
      <c r="D19" s="22"/>
      <c r="E19" s="181"/>
      <c r="F19" s="172"/>
      <c r="G19" s="145"/>
      <c r="H19" s="145"/>
      <c r="I19" s="145"/>
      <c r="J19" s="145"/>
      <c r="K19" s="381"/>
      <c r="L19" s="76"/>
      <c r="M19" s="359"/>
      <c r="N19" s="359"/>
      <c r="O19" s="22"/>
      <c r="P19" s="22"/>
      <c r="Q19" s="22"/>
      <c r="R19" s="359"/>
      <c r="S19" s="359"/>
      <c r="T19" s="359"/>
      <c r="U19" s="145">
        <f>-1170.95</f>
        <v>-1170.95</v>
      </c>
      <c r="V19" s="284"/>
    </row>
    <row r="20" spans="1:21" s="213" customFormat="1" ht="15" customHeight="1">
      <c r="A20" s="1030" t="s">
        <v>8</v>
      </c>
      <c r="B20" s="1030"/>
      <c r="C20" s="205"/>
      <c r="D20" s="205">
        <f>SUM(D10:D19)</f>
        <v>7</v>
      </c>
      <c r="E20" s="205">
        <f>SUM(E10:E18)</f>
        <v>6</v>
      </c>
      <c r="F20" s="205">
        <f>SUM(F10:F18)</f>
        <v>1</v>
      </c>
      <c r="G20" s="205">
        <f>SUM(G10:G18)</f>
        <v>5</v>
      </c>
      <c r="H20" s="205">
        <f>SUM(H13:H16)</f>
        <v>2</v>
      </c>
      <c r="I20" s="205"/>
      <c r="J20" s="205"/>
      <c r="K20" s="205"/>
      <c r="L20" s="596"/>
      <c r="M20" s="203">
        <f>SUM(M10:M18)</f>
        <v>933</v>
      </c>
      <c r="N20" s="204"/>
      <c r="O20" s="312">
        <f>SUM(O10:O18)</f>
        <v>19018.272</v>
      </c>
      <c r="P20" s="312">
        <f>SUM(P13:P18)</f>
        <v>772.8100000000001</v>
      </c>
      <c r="Q20" s="312">
        <f>SUM(Q10:Q18)</f>
        <v>2172.1904000000004</v>
      </c>
      <c r="R20" s="203">
        <f>SUM(R10:R18)</f>
        <v>83.75</v>
      </c>
      <c r="S20" s="204"/>
      <c r="T20" s="204">
        <f>SUM(T10:T19)</f>
        <v>1987.3875</v>
      </c>
      <c r="U20" s="204">
        <f>SUM(U10:U19)</f>
        <v>27265.7824</v>
      </c>
    </row>
    <row r="21" spans="1:21" s="4" customFormat="1" ht="15" customHeight="1">
      <c r="A21" s="1027" t="s">
        <v>67</v>
      </c>
      <c r="B21" s="1027"/>
      <c r="C21" s="87"/>
      <c r="D21" s="87"/>
      <c r="E21" s="300"/>
      <c r="F21" s="87"/>
      <c r="G21" s="87"/>
      <c r="H21" s="87"/>
      <c r="I21" s="87"/>
      <c r="J21" s="87"/>
      <c r="K21" s="87"/>
      <c r="L21" s="103"/>
      <c r="M21" s="199"/>
      <c r="N21" s="196"/>
      <c r="O21" s="88"/>
      <c r="P21" s="88"/>
      <c r="Q21" s="88"/>
      <c r="R21" s="196"/>
      <c r="S21" s="196"/>
      <c r="T21" s="196"/>
      <c r="U21" s="211"/>
    </row>
    <row r="22" spans="1:21" s="50" customFormat="1" ht="48" customHeight="1">
      <c r="A22" s="39" t="s">
        <v>332</v>
      </c>
      <c r="B22" s="39" t="s">
        <v>333</v>
      </c>
      <c r="C22" s="39" t="s">
        <v>213</v>
      </c>
      <c r="D22" s="115" t="s">
        <v>36</v>
      </c>
      <c r="E22" s="115" t="s">
        <v>73</v>
      </c>
      <c r="F22" s="115" t="s">
        <v>74</v>
      </c>
      <c r="G22" s="115" t="s">
        <v>37</v>
      </c>
      <c r="H22" s="115" t="s">
        <v>38</v>
      </c>
      <c r="I22" s="115" t="s">
        <v>15</v>
      </c>
      <c r="J22" s="115" t="s">
        <v>214</v>
      </c>
      <c r="K22" s="115" t="s">
        <v>39</v>
      </c>
      <c r="L22" s="631" t="s">
        <v>84</v>
      </c>
      <c r="M22" s="632" t="s">
        <v>271</v>
      </c>
      <c r="N22" s="633" t="s">
        <v>40</v>
      </c>
      <c r="O22" s="632" t="s">
        <v>238</v>
      </c>
      <c r="P22" s="634" t="s">
        <v>260</v>
      </c>
      <c r="Q22" s="634" t="s">
        <v>265</v>
      </c>
      <c r="R22" s="632" t="s">
        <v>240</v>
      </c>
      <c r="S22" s="633" t="s">
        <v>40</v>
      </c>
      <c r="T22" s="632" t="s">
        <v>261</v>
      </c>
      <c r="U22" s="595" t="s">
        <v>58</v>
      </c>
    </row>
    <row r="23" spans="1:21" s="367" customFormat="1" ht="15.75" customHeight="1">
      <c r="A23" s="791"/>
      <c r="B23" s="791"/>
      <c r="C23" s="790"/>
      <c r="D23" s="14">
        <v>1</v>
      </c>
      <c r="E23" s="22">
        <v>1</v>
      </c>
      <c r="F23" s="22"/>
      <c r="G23" s="22">
        <v>1</v>
      </c>
      <c r="H23" s="77"/>
      <c r="I23" s="22" t="s">
        <v>212</v>
      </c>
      <c r="J23" s="22" t="s">
        <v>212</v>
      </c>
      <c r="K23" s="22">
        <v>1993</v>
      </c>
      <c r="L23" s="22" t="s">
        <v>275</v>
      </c>
      <c r="M23" s="200">
        <v>0</v>
      </c>
      <c r="N23" s="195">
        <v>20.384</v>
      </c>
      <c r="O23" s="335">
        <f>M23*N23</f>
        <v>0</v>
      </c>
      <c r="P23" s="335">
        <v>0</v>
      </c>
      <c r="Q23" s="335">
        <v>0</v>
      </c>
      <c r="R23" s="382">
        <v>37</v>
      </c>
      <c r="S23" s="368">
        <v>23.73</v>
      </c>
      <c r="T23" s="368">
        <f>R23*S23</f>
        <v>878.01</v>
      </c>
      <c r="U23" s="368">
        <f>T23+Q23+P23+O23</f>
        <v>878.01</v>
      </c>
    </row>
    <row r="24" spans="1:21" s="367" customFormat="1" ht="15.75" customHeight="1">
      <c r="A24" s="769" t="s">
        <v>51</v>
      </c>
      <c r="B24" s="686"/>
      <c r="C24" s="297"/>
      <c r="D24" s="14"/>
      <c r="E24" s="288"/>
      <c r="F24" s="288"/>
      <c r="G24" s="285"/>
      <c r="H24" s="77"/>
      <c r="I24" s="285"/>
      <c r="J24" s="285"/>
      <c r="K24" s="285"/>
      <c r="L24" s="22"/>
      <c r="M24" s="200"/>
      <c r="N24" s="195"/>
      <c r="O24" s="335"/>
      <c r="P24" s="335"/>
      <c r="Q24" s="335"/>
      <c r="R24" s="382"/>
      <c r="S24" s="368"/>
      <c r="T24" s="368"/>
      <c r="U24" s="368">
        <f>1783.92-T23</f>
        <v>905.9100000000001</v>
      </c>
    </row>
    <row r="25" spans="1:21" s="213" customFormat="1" ht="15" customHeight="1">
      <c r="A25" s="1030" t="s">
        <v>95</v>
      </c>
      <c r="B25" s="1030"/>
      <c r="C25" s="205"/>
      <c r="D25" s="205">
        <f>SUM(D23:D24)</f>
        <v>1</v>
      </c>
      <c r="E25" s="205">
        <f>SUM(E23:E23)</f>
        <v>1</v>
      </c>
      <c r="F25" s="205">
        <v>0</v>
      </c>
      <c r="G25" s="205">
        <f>SUM(G23:G23)</f>
        <v>1</v>
      </c>
      <c r="H25" s="205">
        <v>0</v>
      </c>
      <c r="I25" s="205"/>
      <c r="J25" s="205"/>
      <c r="K25" s="205"/>
      <c r="L25" s="500"/>
      <c r="M25" s="203">
        <v>0</v>
      </c>
      <c r="N25" s="204"/>
      <c r="O25" s="312">
        <v>0</v>
      </c>
      <c r="P25" s="312">
        <f>SUM(P23:P24)</f>
        <v>0</v>
      </c>
      <c r="Q25" s="312">
        <f>SUM(Q23:Q24)</f>
        <v>0</v>
      </c>
      <c r="R25" s="203">
        <f>SUM(R23)</f>
        <v>37</v>
      </c>
      <c r="S25" s="204"/>
      <c r="T25" s="204">
        <f>SUM(T23:T24)</f>
        <v>878.01</v>
      </c>
      <c r="U25" s="204">
        <f>SUM(U23:U24)</f>
        <v>1783.92</v>
      </c>
    </row>
    <row r="26" spans="1:21" s="4" customFormat="1" ht="15" customHeight="1">
      <c r="A26" s="1047" t="s">
        <v>68</v>
      </c>
      <c r="B26" s="1047"/>
      <c r="C26" s="87"/>
      <c r="D26" s="87"/>
      <c r="E26" s="300"/>
      <c r="F26" s="87"/>
      <c r="G26" s="87"/>
      <c r="H26" s="87"/>
      <c r="I26" s="87"/>
      <c r="J26" s="87"/>
      <c r="K26" s="87"/>
      <c r="L26" s="103"/>
      <c r="M26" s="199"/>
      <c r="N26" s="196"/>
      <c r="O26" s="88"/>
      <c r="P26" s="88"/>
      <c r="Q26" s="88"/>
      <c r="R26" s="196"/>
      <c r="S26" s="196"/>
      <c r="T26" s="196"/>
      <c r="U26" s="211"/>
    </row>
    <row r="27" spans="1:21" s="50" customFormat="1" ht="48.75" customHeight="1">
      <c r="A27" s="39" t="s">
        <v>332</v>
      </c>
      <c r="B27" s="39" t="s">
        <v>333</v>
      </c>
      <c r="C27" s="39" t="s">
        <v>213</v>
      </c>
      <c r="D27" s="115" t="s">
        <v>36</v>
      </c>
      <c r="E27" s="115" t="s">
        <v>73</v>
      </c>
      <c r="F27" s="115" t="s">
        <v>74</v>
      </c>
      <c r="G27" s="115" t="s">
        <v>37</v>
      </c>
      <c r="H27" s="115" t="s">
        <v>38</v>
      </c>
      <c r="I27" s="115" t="s">
        <v>15</v>
      </c>
      <c r="J27" s="115" t="s">
        <v>214</v>
      </c>
      <c r="K27" s="115" t="s">
        <v>39</v>
      </c>
      <c r="L27" s="631" t="s">
        <v>84</v>
      </c>
      <c r="M27" s="632" t="s">
        <v>271</v>
      </c>
      <c r="N27" s="633" t="s">
        <v>40</v>
      </c>
      <c r="O27" s="632" t="s">
        <v>238</v>
      </c>
      <c r="P27" s="634" t="s">
        <v>260</v>
      </c>
      <c r="Q27" s="634" t="s">
        <v>265</v>
      </c>
      <c r="R27" s="632" t="s">
        <v>240</v>
      </c>
      <c r="S27" s="633" t="s">
        <v>40</v>
      </c>
      <c r="T27" s="632" t="s">
        <v>261</v>
      </c>
      <c r="U27" s="595" t="s">
        <v>58</v>
      </c>
    </row>
    <row r="28" spans="1:21" s="4" customFormat="1" ht="15" customHeight="1">
      <c r="A28" s="789"/>
      <c r="B28" s="789"/>
      <c r="C28" s="834"/>
      <c r="D28" s="14">
        <v>1</v>
      </c>
      <c r="E28" s="409">
        <v>1</v>
      </c>
      <c r="F28" s="409"/>
      <c r="G28" s="409">
        <v>1</v>
      </c>
      <c r="H28" s="409"/>
      <c r="I28" s="409" t="s">
        <v>212</v>
      </c>
      <c r="J28" s="418" t="s">
        <v>148</v>
      </c>
      <c r="K28" s="409">
        <v>1998</v>
      </c>
      <c r="L28" s="22" t="s">
        <v>275</v>
      </c>
      <c r="M28" s="382">
        <v>0</v>
      </c>
      <c r="N28" s="368">
        <v>20.384</v>
      </c>
      <c r="O28" s="431">
        <f>M28*N28</f>
        <v>0</v>
      </c>
      <c r="P28" s="23">
        <v>0</v>
      </c>
      <c r="Q28" s="23">
        <v>0</v>
      </c>
      <c r="R28" s="382">
        <v>10.25</v>
      </c>
      <c r="S28" s="368">
        <v>23.73</v>
      </c>
      <c r="T28" s="368">
        <f>R28*S28</f>
        <v>243.23250000000002</v>
      </c>
      <c r="U28" s="368">
        <f>T28+Q28+P28+O28</f>
        <v>243.23250000000002</v>
      </c>
    </row>
    <row r="29" spans="1:21" s="4" customFormat="1" ht="15" customHeight="1">
      <c r="A29" s="793"/>
      <c r="B29" s="793"/>
      <c r="C29" s="801"/>
      <c r="D29" s="14">
        <v>1</v>
      </c>
      <c r="E29" s="22"/>
      <c r="F29" s="22">
        <v>1</v>
      </c>
      <c r="G29" s="22">
        <v>1</v>
      </c>
      <c r="H29" s="22"/>
      <c r="I29" s="409" t="s">
        <v>212</v>
      </c>
      <c r="J29" s="415" t="s">
        <v>212</v>
      </c>
      <c r="K29" s="409">
        <v>1998</v>
      </c>
      <c r="L29" s="1106" t="s">
        <v>366</v>
      </c>
      <c r="M29" s="1100">
        <v>113</v>
      </c>
      <c r="N29" s="1099">
        <v>20.384</v>
      </c>
      <c r="O29" s="1114">
        <f>M29*N29</f>
        <v>2303.392</v>
      </c>
      <c r="P29" s="1114">
        <v>199.4</v>
      </c>
      <c r="Q29" s="1114">
        <v>60.56</v>
      </c>
      <c r="R29" s="1103">
        <v>0</v>
      </c>
      <c r="S29" s="1099">
        <v>23.73</v>
      </c>
      <c r="T29" s="1099">
        <v>0</v>
      </c>
      <c r="U29" s="1099">
        <f>T29+P29+Q29+O29</f>
        <v>2563.352</v>
      </c>
    </row>
    <row r="30" spans="1:21" s="4" customFormat="1" ht="15" customHeight="1">
      <c r="A30" s="793"/>
      <c r="B30" s="793"/>
      <c r="C30" s="801"/>
      <c r="D30" s="14">
        <v>1</v>
      </c>
      <c r="E30" s="22"/>
      <c r="F30" s="22">
        <v>1</v>
      </c>
      <c r="G30" s="22">
        <v>1</v>
      </c>
      <c r="H30" s="22"/>
      <c r="I30" s="409" t="s">
        <v>212</v>
      </c>
      <c r="J30" s="415" t="s">
        <v>212</v>
      </c>
      <c r="K30" s="409">
        <v>1997</v>
      </c>
      <c r="L30" s="1106"/>
      <c r="M30" s="1100"/>
      <c r="N30" s="1099"/>
      <c r="O30" s="1114"/>
      <c r="P30" s="1114"/>
      <c r="Q30" s="1114"/>
      <c r="R30" s="1103"/>
      <c r="S30" s="1099"/>
      <c r="T30" s="1099"/>
      <c r="U30" s="1121"/>
    </row>
    <row r="31" spans="1:21" s="4" customFormat="1" ht="15" customHeight="1">
      <c r="A31" s="789"/>
      <c r="B31" s="789"/>
      <c r="C31" s="801"/>
      <c r="D31" s="14">
        <v>1</v>
      </c>
      <c r="E31" s="434">
        <v>1</v>
      </c>
      <c r="F31" s="22"/>
      <c r="G31" s="22">
        <v>1</v>
      </c>
      <c r="H31" s="285"/>
      <c r="I31" s="434" t="s">
        <v>212</v>
      </c>
      <c r="J31" s="440" t="s">
        <v>212</v>
      </c>
      <c r="K31" s="434">
        <v>1997</v>
      </c>
      <c r="L31" s="22" t="s">
        <v>52</v>
      </c>
      <c r="M31" s="1100">
        <v>141.5</v>
      </c>
      <c r="N31" s="1099">
        <v>20.384</v>
      </c>
      <c r="O31" s="1114">
        <f>M31*N31</f>
        <v>2884.3360000000002</v>
      </c>
      <c r="P31" s="1114">
        <v>296.5</v>
      </c>
      <c r="Q31" s="1114">
        <v>176.91</v>
      </c>
      <c r="R31" s="1103">
        <v>0</v>
      </c>
      <c r="S31" s="1099">
        <v>23.73</v>
      </c>
      <c r="T31" s="1099">
        <v>0</v>
      </c>
      <c r="U31" s="1099">
        <f>T31+Q31+P31+O31</f>
        <v>3357.746</v>
      </c>
    </row>
    <row r="32" spans="1:21" s="4" customFormat="1" ht="15" customHeight="1">
      <c r="A32" s="789"/>
      <c r="B32" s="789"/>
      <c r="C32" s="801"/>
      <c r="D32" s="14">
        <v>1</v>
      </c>
      <c r="E32" s="22"/>
      <c r="F32" s="22">
        <v>1</v>
      </c>
      <c r="G32" s="22">
        <v>1</v>
      </c>
      <c r="H32" s="285"/>
      <c r="I32" s="434" t="s">
        <v>212</v>
      </c>
      <c r="J32" s="440" t="s">
        <v>212</v>
      </c>
      <c r="K32" s="434">
        <v>1995</v>
      </c>
      <c r="L32" s="22" t="s">
        <v>52</v>
      </c>
      <c r="M32" s="1100"/>
      <c r="N32" s="1099"/>
      <c r="O32" s="1114"/>
      <c r="P32" s="1114"/>
      <c r="Q32" s="1114"/>
      <c r="R32" s="1103"/>
      <c r="S32" s="1099"/>
      <c r="T32" s="1099"/>
      <c r="U32" s="1099"/>
    </row>
    <row r="33" spans="1:21" s="4" customFormat="1" ht="15" customHeight="1">
      <c r="A33" s="789"/>
      <c r="B33" s="789"/>
      <c r="C33" s="801"/>
      <c r="D33" s="14">
        <v>1</v>
      </c>
      <c r="E33" s="409">
        <v>1</v>
      </c>
      <c r="F33" s="22"/>
      <c r="G33" s="22">
        <v>1</v>
      </c>
      <c r="H33" s="285"/>
      <c r="I33" s="434" t="s">
        <v>212</v>
      </c>
      <c r="J33" s="440" t="s">
        <v>212</v>
      </c>
      <c r="K33" s="434">
        <v>1997</v>
      </c>
      <c r="L33" s="22" t="s">
        <v>52</v>
      </c>
      <c r="M33" s="1100"/>
      <c r="N33" s="1099"/>
      <c r="O33" s="1114"/>
      <c r="P33" s="1114"/>
      <c r="Q33" s="1114"/>
      <c r="R33" s="1103"/>
      <c r="S33" s="1099"/>
      <c r="T33" s="1099"/>
      <c r="U33" s="1099"/>
    </row>
    <row r="34" spans="1:21" s="4" customFormat="1" ht="15" customHeight="1">
      <c r="A34" s="789"/>
      <c r="B34" s="789"/>
      <c r="C34" s="801"/>
      <c r="D34" s="14">
        <v>1</v>
      </c>
      <c r="E34" s="22"/>
      <c r="F34" s="22">
        <v>1</v>
      </c>
      <c r="G34" s="22">
        <v>1</v>
      </c>
      <c r="H34" s="285"/>
      <c r="I34" s="434" t="s">
        <v>212</v>
      </c>
      <c r="J34" s="440" t="s">
        <v>212</v>
      </c>
      <c r="K34" s="434">
        <v>1994</v>
      </c>
      <c r="L34" s="22" t="s">
        <v>52</v>
      </c>
      <c r="M34" s="1100"/>
      <c r="N34" s="1099"/>
      <c r="O34" s="1114"/>
      <c r="P34" s="1114"/>
      <c r="Q34" s="1114"/>
      <c r="R34" s="1103"/>
      <c r="S34" s="1099"/>
      <c r="T34" s="1099"/>
      <c r="U34" s="1099"/>
    </row>
    <row r="35" spans="1:21" s="4" customFormat="1" ht="15" customHeight="1">
      <c r="A35" s="769" t="s">
        <v>51</v>
      </c>
      <c r="B35" s="690"/>
      <c r="C35" s="415"/>
      <c r="D35" s="14"/>
      <c r="E35" s="285"/>
      <c r="F35" s="285"/>
      <c r="G35" s="285"/>
      <c r="H35" s="285"/>
      <c r="I35" s="298"/>
      <c r="J35" s="304"/>
      <c r="K35" s="298"/>
      <c r="L35" s="22"/>
      <c r="M35" s="467"/>
      <c r="N35" s="195"/>
      <c r="O35" s="335"/>
      <c r="P35" s="335"/>
      <c r="Q35" s="335"/>
      <c r="R35" s="200"/>
      <c r="S35" s="195"/>
      <c r="T35" s="195"/>
      <c r="U35" s="195">
        <f>-243.58</f>
        <v>-243.58</v>
      </c>
    </row>
    <row r="36" spans="1:21" s="213" customFormat="1" ht="15" customHeight="1">
      <c r="A36" s="1030" t="s">
        <v>478</v>
      </c>
      <c r="B36" s="1030"/>
      <c r="C36" s="205"/>
      <c r="D36" s="205">
        <f>SUM(D28:D35)</f>
        <v>7</v>
      </c>
      <c r="E36" s="205">
        <f>SUM(E28:E34)</f>
        <v>3</v>
      </c>
      <c r="F36" s="205">
        <f>SUM(F28:F34)</f>
        <v>4</v>
      </c>
      <c r="G36" s="205">
        <f>SUM(G28:G34)</f>
        <v>7</v>
      </c>
      <c r="H36" s="205">
        <v>0</v>
      </c>
      <c r="I36" s="205"/>
      <c r="J36" s="205"/>
      <c r="K36" s="205"/>
      <c r="L36" s="500"/>
      <c r="M36" s="203">
        <f>SUM(M28:M34)</f>
        <v>254.5</v>
      </c>
      <c r="N36" s="204"/>
      <c r="O36" s="312">
        <f>SUM(O28:O34)</f>
        <v>5187.728</v>
      </c>
      <c r="P36" s="312">
        <f>SUM(P28:P34)</f>
        <v>495.9</v>
      </c>
      <c r="Q36" s="312">
        <f>SUM(Q28:Q34)</f>
        <v>237.47</v>
      </c>
      <c r="R36" s="203">
        <f>SUM(R28:R34)</f>
        <v>10.25</v>
      </c>
      <c r="S36" s="204"/>
      <c r="T36" s="204">
        <f>SUM(T28:T34)</f>
        <v>243.23250000000002</v>
      </c>
      <c r="U36" s="204">
        <f>SUM(U28:U35)</f>
        <v>5920.7505</v>
      </c>
    </row>
    <row r="37" spans="1:21" s="213" customFormat="1" ht="15" customHeight="1">
      <c r="A37" s="1027" t="s">
        <v>65</v>
      </c>
      <c r="B37" s="1027"/>
      <c r="C37" s="87"/>
      <c r="D37" s="365"/>
      <c r="E37" s="314"/>
      <c r="F37" s="314"/>
      <c r="G37" s="314"/>
      <c r="H37" s="314"/>
      <c r="I37" s="315"/>
      <c r="J37" s="314"/>
      <c r="K37" s="314"/>
      <c r="L37" s="199"/>
      <c r="M37" s="315"/>
      <c r="N37" s="315"/>
      <c r="O37" s="199"/>
      <c r="P37" s="199"/>
      <c r="Q37" s="199"/>
      <c r="R37" s="199"/>
      <c r="S37" s="315"/>
      <c r="T37" s="103"/>
      <c r="U37" s="103"/>
    </row>
    <row r="38" spans="1:21" s="213" customFormat="1" ht="48.75" customHeight="1">
      <c r="A38" s="39" t="s">
        <v>332</v>
      </c>
      <c r="B38" s="39" t="s">
        <v>333</v>
      </c>
      <c r="C38" s="39" t="s">
        <v>213</v>
      </c>
      <c r="D38" s="115" t="s">
        <v>36</v>
      </c>
      <c r="E38" s="115" t="s">
        <v>73</v>
      </c>
      <c r="F38" s="115" t="s">
        <v>74</v>
      </c>
      <c r="G38" s="115" t="s">
        <v>37</v>
      </c>
      <c r="H38" s="115" t="s">
        <v>38</v>
      </c>
      <c r="I38" s="115" t="s">
        <v>15</v>
      </c>
      <c r="J38" s="115" t="s">
        <v>214</v>
      </c>
      <c r="K38" s="115" t="s">
        <v>39</v>
      </c>
      <c r="L38" s="631" t="s">
        <v>84</v>
      </c>
      <c r="M38" s="632" t="s">
        <v>271</v>
      </c>
      <c r="N38" s="633" t="s">
        <v>40</v>
      </c>
      <c r="O38" s="632" t="s">
        <v>238</v>
      </c>
      <c r="P38" s="634" t="s">
        <v>260</v>
      </c>
      <c r="Q38" s="634" t="s">
        <v>265</v>
      </c>
      <c r="R38" s="632" t="s">
        <v>240</v>
      </c>
      <c r="S38" s="633" t="s">
        <v>40</v>
      </c>
      <c r="T38" s="632" t="s">
        <v>261</v>
      </c>
      <c r="U38" s="595" t="s">
        <v>58</v>
      </c>
    </row>
    <row r="39" spans="1:21" s="213" customFormat="1" ht="15" customHeight="1">
      <c r="A39" s="1031" t="s">
        <v>340</v>
      </c>
      <c r="B39" s="1032"/>
      <c r="C39" s="205"/>
      <c r="D39" s="205">
        <v>0</v>
      </c>
      <c r="E39" s="205">
        <v>0</v>
      </c>
      <c r="F39" s="205">
        <v>0</v>
      </c>
      <c r="G39" s="205">
        <v>0</v>
      </c>
      <c r="H39" s="205">
        <v>0</v>
      </c>
      <c r="I39" s="205"/>
      <c r="J39" s="205"/>
      <c r="K39" s="205"/>
      <c r="L39" s="500"/>
      <c r="M39" s="203">
        <f>SUM(M36:M37)</f>
        <v>254.5</v>
      </c>
      <c r="N39" s="204">
        <v>0</v>
      </c>
      <c r="O39" s="312">
        <v>0</v>
      </c>
      <c r="P39" s="312">
        <v>0</v>
      </c>
      <c r="Q39" s="312">
        <v>0</v>
      </c>
      <c r="R39" s="203">
        <v>0</v>
      </c>
      <c r="S39" s="204"/>
      <c r="T39" s="204">
        <v>0</v>
      </c>
      <c r="U39" s="204">
        <v>0</v>
      </c>
    </row>
    <row r="40" spans="1:21" s="4" customFormat="1" ht="15" customHeight="1">
      <c r="A40" s="1027" t="s">
        <v>69</v>
      </c>
      <c r="B40" s="1027"/>
      <c r="C40" s="87"/>
      <c r="D40" s="365"/>
      <c r="E40" s="314"/>
      <c r="F40" s="314"/>
      <c r="G40" s="314"/>
      <c r="H40" s="314"/>
      <c r="I40" s="315"/>
      <c r="J40" s="314"/>
      <c r="K40" s="314"/>
      <c r="L40" s="199"/>
      <c r="M40" s="315"/>
      <c r="N40" s="315"/>
      <c r="O40" s="199"/>
      <c r="P40" s="199"/>
      <c r="Q40" s="199"/>
      <c r="R40" s="199"/>
      <c r="S40" s="315"/>
      <c r="T40" s="103"/>
      <c r="U40" s="103"/>
    </row>
    <row r="41" spans="1:21" s="50" customFormat="1" ht="48.75" customHeight="1">
      <c r="A41" s="39" t="s">
        <v>332</v>
      </c>
      <c r="B41" s="39" t="s">
        <v>333</v>
      </c>
      <c r="C41" s="39" t="s">
        <v>213</v>
      </c>
      <c r="D41" s="115" t="s">
        <v>36</v>
      </c>
      <c r="E41" s="115" t="s">
        <v>73</v>
      </c>
      <c r="F41" s="115" t="s">
        <v>74</v>
      </c>
      <c r="G41" s="115" t="s">
        <v>37</v>
      </c>
      <c r="H41" s="115" t="s">
        <v>38</v>
      </c>
      <c r="I41" s="115" t="s">
        <v>15</v>
      </c>
      <c r="J41" s="115" t="s">
        <v>214</v>
      </c>
      <c r="K41" s="115" t="s">
        <v>39</v>
      </c>
      <c r="L41" s="631" t="s">
        <v>84</v>
      </c>
      <c r="M41" s="632" t="s">
        <v>271</v>
      </c>
      <c r="N41" s="633" t="s">
        <v>40</v>
      </c>
      <c r="O41" s="632" t="s">
        <v>238</v>
      </c>
      <c r="P41" s="634" t="s">
        <v>260</v>
      </c>
      <c r="Q41" s="634" t="s">
        <v>265</v>
      </c>
      <c r="R41" s="632" t="s">
        <v>240</v>
      </c>
      <c r="S41" s="633" t="s">
        <v>40</v>
      </c>
      <c r="T41" s="632" t="s">
        <v>261</v>
      </c>
      <c r="U41" s="595" t="s">
        <v>58</v>
      </c>
    </row>
    <row r="42" spans="1:21" s="213" customFormat="1" ht="15" customHeight="1">
      <c r="A42" s="794"/>
      <c r="B42" s="794"/>
      <c r="C42" s="801"/>
      <c r="D42" s="14">
        <v>1</v>
      </c>
      <c r="E42" s="409">
        <v>1</v>
      </c>
      <c r="F42" s="409"/>
      <c r="G42" s="409">
        <v>1</v>
      </c>
      <c r="H42" s="409"/>
      <c r="I42" s="409" t="s">
        <v>212</v>
      </c>
      <c r="J42" s="409" t="s">
        <v>212</v>
      </c>
      <c r="K42" s="22">
        <v>1995</v>
      </c>
      <c r="L42" s="22" t="s">
        <v>366</v>
      </c>
      <c r="M42" s="382">
        <v>0</v>
      </c>
      <c r="N42" s="368">
        <v>20.384</v>
      </c>
      <c r="O42" s="431">
        <f>M42*N42</f>
        <v>0</v>
      </c>
      <c r="P42" s="23">
        <v>0</v>
      </c>
      <c r="Q42" s="23">
        <v>0</v>
      </c>
      <c r="R42" s="382">
        <v>10.25</v>
      </c>
      <c r="S42" s="368">
        <v>23.73</v>
      </c>
      <c r="T42" s="368">
        <f>R42*S42</f>
        <v>243.23250000000002</v>
      </c>
      <c r="U42" s="368">
        <f>T42+Q42+P43+O42</f>
        <v>243.23250000000002</v>
      </c>
    </row>
    <row r="43" spans="1:21" s="213" customFormat="1" ht="15" customHeight="1">
      <c r="A43" s="791"/>
      <c r="B43" s="791"/>
      <c r="C43" s="790"/>
      <c r="D43" s="14">
        <v>1</v>
      </c>
      <c r="E43" s="409">
        <v>1</v>
      </c>
      <c r="F43" s="409"/>
      <c r="G43" s="409">
        <v>1</v>
      </c>
      <c r="H43" s="409"/>
      <c r="I43" s="409" t="s">
        <v>212</v>
      </c>
      <c r="J43" s="409" t="s">
        <v>212</v>
      </c>
      <c r="K43" s="22">
        <v>1998</v>
      </c>
      <c r="L43" s="22" t="s">
        <v>366</v>
      </c>
      <c r="M43" s="382">
        <v>0</v>
      </c>
      <c r="N43" s="368">
        <v>20.384</v>
      </c>
      <c r="O43" s="431">
        <f>M43*N43</f>
        <v>0</v>
      </c>
      <c r="P43" s="23">
        <v>0</v>
      </c>
      <c r="Q43" s="23">
        <v>0</v>
      </c>
      <c r="R43" s="382">
        <v>29.5</v>
      </c>
      <c r="S43" s="368">
        <v>23.73</v>
      </c>
      <c r="T43" s="368">
        <f>R43*S43</f>
        <v>700.035</v>
      </c>
      <c r="U43" s="368">
        <f>T43+Q43+P44+O43</f>
        <v>700.035</v>
      </c>
    </row>
    <row r="44" spans="1:21" s="213" customFormat="1" ht="15" customHeight="1">
      <c r="A44" s="769" t="s">
        <v>51</v>
      </c>
      <c r="B44" s="691"/>
      <c r="C44" s="304"/>
      <c r="D44" s="14"/>
      <c r="E44" s="298"/>
      <c r="F44" s="298"/>
      <c r="G44" s="298"/>
      <c r="H44" s="298"/>
      <c r="I44" s="298"/>
      <c r="J44" s="298"/>
      <c r="K44" s="285"/>
      <c r="L44" s="22"/>
      <c r="M44" s="324"/>
      <c r="N44" s="325"/>
      <c r="O44" s="377"/>
      <c r="P44" s="23"/>
      <c r="Q44" s="23"/>
      <c r="R44" s="324"/>
      <c r="S44" s="325"/>
      <c r="T44" s="325"/>
      <c r="U44" s="325">
        <f>1450.32-T45</f>
        <v>507.0525</v>
      </c>
    </row>
    <row r="45" spans="1:21" s="213" customFormat="1" ht="15" customHeight="1">
      <c r="A45" s="1031" t="s">
        <v>13</v>
      </c>
      <c r="B45" s="1032"/>
      <c r="C45" s="205"/>
      <c r="D45" s="205">
        <f>SUM(D42:D44)</f>
        <v>2</v>
      </c>
      <c r="E45" s="205">
        <f>SUM(E42:E44)</f>
        <v>2</v>
      </c>
      <c r="F45" s="205">
        <v>0</v>
      </c>
      <c r="G45" s="205">
        <f>SUM(G42:G44)</f>
        <v>2</v>
      </c>
      <c r="H45" s="205">
        <v>0</v>
      </c>
      <c r="I45" s="205"/>
      <c r="J45" s="205"/>
      <c r="K45" s="205"/>
      <c r="L45" s="500"/>
      <c r="M45" s="203">
        <f>SUM(M42:M44)</f>
        <v>0</v>
      </c>
      <c r="N45" s="204"/>
      <c r="O45" s="312"/>
      <c r="P45" s="312"/>
      <c r="Q45" s="312"/>
      <c r="R45" s="203">
        <f>SUM(R42:R44)</f>
        <v>39.75</v>
      </c>
      <c r="S45" s="204"/>
      <c r="T45" s="204">
        <f>SUM(T42:T44)</f>
        <v>943.2674999999999</v>
      </c>
      <c r="U45" s="204">
        <f>SUM(U42:U44)</f>
        <v>1450.32</v>
      </c>
    </row>
    <row r="46" spans="1:21" s="4" customFormat="1" ht="15" customHeight="1">
      <c r="A46" s="1028" t="s">
        <v>70</v>
      </c>
      <c r="B46" s="1029"/>
      <c r="C46" s="87"/>
      <c r="D46" s="365"/>
      <c r="E46" s="314"/>
      <c r="F46" s="314"/>
      <c r="G46" s="314"/>
      <c r="H46" s="314"/>
      <c r="I46" s="315"/>
      <c r="J46" s="314"/>
      <c r="K46" s="314"/>
      <c r="L46" s="199"/>
      <c r="M46" s="315"/>
      <c r="N46" s="315"/>
      <c r="O46" s="199"/>
      <c r="P46" s="199"/>
      <c r="Q46" s="199"/>
      <c r="R46" s="199"/>
      <c r="S46" s="315"/>
      <c r="T46" s="103"/>
      <c r="U46" s="103"/>
    </row>
    <row r="47" spans="1:21" s="50" customFormat="1" ht="48.75" customHeight="1">
      <c r="A47" s="692" t="s">
        <v>332</v>
      </c>
      <c r="B47" s="692" t="s">
        <v>333</v>
      </c>
      <c r="C47" s="39" t="s">
        <v>213</v>
      </c>
      <c r="D47" s="115" t="s">
        <v>36</v>
      </c>
      <c r="E47" s="115" t="s">
        <v>73</v>
      </c>
      <c r="F47" s="115" t="s">
        <v>74</v>
      </c>
      <c r="G47" s="115" t="s">
        <v>37</v>
      </c>
      <c r="H47" s="115" t="s">
        <v>38</v>
      </c>
      <c r="I47" s="115" t="s">
        <v>15</v>
      </c>
      <c r="J47" s="115" t="s">
        <v>214</v>
      </c>
      <c r="K47" s="115" t="s">
        <v>39</v>
      </c>
      <c r="L47" s="631" t="s">
        <v>84</v>
      </c>
      <c r="M47" s="632" t="s">
        <v>271</v>
      </c>
      <c r="N47" s="633" t="s">
        <v>40</v>
      </c>
      <c r="O47" s="632" t="s">
        <v>238</v>
      </c>
      <c r="P47" s="634" t="s">
        <v>260</v>
      </c>
      <c r="Q47" s="634" t="s">
        <v>265</v>
      </c>
      <c r="R47" s="632" t="s">
        <v>240</v>
      </c>
      <c r="S47" s="633" t="s">
        <v>40</v>
      </c>
      <c r="T47" s="632" t="s">
        <v>261</v>
      </c>
      <c r="U47" s="595" t="s">
        <v>58</v>
      </c>
    </row>
    <row r="48" spans="1:21" s="4" customFormat="1" ht="15" customHeight="1">
      <c r="A48" s="794"/>
      <c r="B48" s="795"/>
      <c r="C48" s="840"/>
      <c r="D48" s="1">
        <v>1</v>
      </c>
      <c r="E48" s="1">
        <v>1</v>
      </c>
      <c r="F48" s="279"/>
      <c r="G48" s="279">
        <v>1</v>
      </c>
      <c r="H48" s="305"/>
      <c r="I48" s="305" t="s">
        <v>212</v>
      </c>
      <c r="J48" s="305" t="s">
        <v>113</v>
      </c>
      <c r="K48" s="279">
        <v>1998</v>
      </c>
      <c r="L48" s="1" t="s">
        <v>366</v>
      </c>
      <c r="M48" s="382">
        <v>0</v>
      </c>
      <c r="N48" s="368">
        <v>20.384</v>
      </c>
      <c r="O48" s="431">
        <f>M48*N48</f>
        <v>0</v>
      </c>
      <c r="P48" s="23">
        <v>0</v>
      </c>
      <c r="Q48" s="23">
        <v>0</v>
      </c>
      <c r="R48" s="382">
        <v>10.25</v>
      </c>
      <c r="S48" s="368">
        <v>23.73</v>
      </c>
      <c r="T48" s="368">
        <f>R48*S48</f>
        <v>243.23250000000002</v>
      </c>
      <c r="U48" s="368">
        <f>T48+Q48+P48+O48</f>
        <v>243.23250000000002</v>
      </c>
    </row>
    <row r="49" spans="1:21" s="4" customFormat="1" ht="15" customHeight="1">
      <c r="A49" s="794"/>
      <c r="B49" s="795"/>
      <c r="C49" s="792"/>
      <c r="D49" s="1">
        <v>1</v>
      </c>
      <c r="E49" s="1">
        <v>1</v>
      </c>
      <c r="F49" s="279"/>
      <c r="G49" s="279">
        <v>1</v>
      </c>
      <c r="H49" s="305"/>
      <c r="I49" s="22" t="s">
        <v>212</v>
      </c>
      <c r="J49" s="22" t="s">
        <v>212</v>
      </c>
      <c r="K49" s="78">
        <v>1999</v>
      </c>
      <c r="L49" s="1" t="s">
        <v>366</v>
      </c>
      <c r="M49" s="1100">
        <v>29.5</v>
      </c>
      <c r="N49" s="1098">
        <v>20.384</v>
      </c>
      <c r="O49" s="1120">
        <f>M49*N49</f>
        <v>601.328</v>
      </c>
      <c r="P49" s="1120">
        <v>110.62</v>
      </c>
      <c r="Q49" s="1120">
        <v>102.99</v>
      </c>
      <c r="R49" s="1100">
        <v>30.5</v>
      </c>
      <c r="S49" s="1098">
        <v>23.73</v>
      </c>
      <c r="T49" s="1099">
        <f>R49*S49</f>
        <v>723.765</v>
      </c>
      <c r="U49" s="1099">
        <f>T49+Q49+P49+O49</f>
        <v>1538.703</v>
      </c>
    </row>
    <row r="50" spans="1:21" s="4" customFormat="1" ht="15" customHeight="1">
      <c r="A50" s="794"/>
      <c r="B50" s="795"/>
      <c r="C50" s="792"/>
      <c r="D50" s="1">
        <v>1</v>
      </c>
      <c r="E50" s="1">
        <v>1</v>
      </c>
      <c r="F50" s="279"/>
      <c r="G50" s="279">
        <v>1</v>
      </c>
      <c r="H50" s="305"/>
      <c r="I50" s="22" t="s">
        <v>212</v>
      </c>
      <c r="J50" s="22" t="s">
        <v>212</v>
      </c>
      <c r="K50" s="78">
        <v>1995</v>
      </c>
      <c r="L50" s="1" t="s">
        <v>366</v>
      </c>
      <c r="M50" s="1100"/>
      <c r="N50" s="1098"/>
      <c r="O50" s="1120"/>
      <c r="P50" s="1120"/>
      <c r="Q50" s="1120"/>
      <c r="R50" s="1100"/>
      <c r="S50" s="1098"/>
      <c r="T50" s="1099"/>
      <c r="U50" s="1121"/>
    </row>
    <row r="51" spans="1:22" s="4" customFormat="1" ht="15" customHeight="1">
      <c r="A51" s="794"/>
      <c r="B51" s="795"/>
      <c r="C51" s="792"/>
      <c r="D51" s="1">
        <v>1</v>
      </c>
      <c r="E51" s="1">
        <v>1</v>
      </c>
      <c r="F51" s="279"/>
      <c r="G51" s="279">
        <v>1</v>
      </c>
      <c r="H51" s="305"/>
      <c r="I51" s="22" t="s">
        <v>114</v>
      </c>
      <c r="J51" s="22" t="s">
        <v>212</v>
      </c>
      <c r="K51" s="78">
        <v>1995</v>
      </c>
      <c r="L51" s="1" t="s">
        <v>366</v>
      </c>
      <c r="M51" s="1100"/>
      <c r="N51" s="1098"/>
      <c r="O51" s="1120"/>
      <c r="P51" s="1120"/>
      <c r="Q51" s="1120"/>
      <c r="R51" s="1100"/>
      <c r="S51" s="1098"/>
      <c r="T51" s="1099"/>
      <c r="U51" s="1121"/>
      <c r="V51" s="11"/>
    </row>
    <row r="52" spans="1:21" s="4" customFormat="1" ht="15" customHeight="1">
      <c r="A52" s="791"/>
      <c r="B52" s="791"/>
      <c r="C52" s="792"/>
      <c r="D52" s="1">
        <v>1</v>
      </c>
      <c r="E52" s="1">
        <v>1</v>
      </c>
      <c r="F52" s="279"/>
      <c r="G52" s="279">
        <v>1</v>
      </c>
      <c r="H52" s="305"/>
      <c r="I52" s="22" t="s">
        <v>212</v>
      </c>
      <c r="J52" s="22" t="s">
        <v>212</v>
      </c>
      <c r="K52" s="78">
        <v>1996</v>
      </c>
      <c r="L52" s="1" t="s">
        <v>366</v>
      </c>
      <c r="M52" s="1100"/>
      <c r="N52" s="1098"/>
      <c r="O52" s="1120"/>
      <c r="P52" s="1120"/>
      <c r="Q52" s="1120"/>
      <c r="R52" s="1100"/>
      <c r="S52" s="1098"/>
      <c r="T52" s="1099"/>
      <c r="U52" s="1121"/>
    </row>
    <row r="53" spans="1:21" s="4" customFormat="1" ht="15" customHeight="1">
      <c r="A53" s="794"/>
      <c r="B53" s="795"/>
      <c r="C53" s="792"/>
      <c r="D53" s="1">
        <v>1</v>
      </c>
      <c r="E53" s="1">
        <v>1</v>
      </c>
      <c r="F53" s="279"/>
      <c r="G53" s="279">
        <v>1</v>
      </c>
      <c r="H53" s="305"/>
      <c r="I53" s="22" t="s">
        <v>212</v>
      </c>
      <c r="J53" s="222" t="s">
        <v>212</v>
      </c>
      <c r="K53" s="78">
        <v>1995</v>
      </c>
      <c r="L53" s="1" t="s">
        <v>366</v>
      </c>
      <c r="M53" s="1100"/>
      <c r="N53" s="1098"/>
      <c r="O53" s="1120"/>
      <c r="P53" s="1120"/>
      <c r="Q53" s="1120"/>
      <c r="R53" s="1100"/>
      <c r="S53" s="1098"/>
      <c r="T53" s="1099"/>
      <c r="U53" s="1121"/>
    </row>
    <row r="54" spans="1:21" s="4" customFormat="1" ht="15" customHeight="1">
      <c r="A54" s="794"/>
      <c r="B54" s="795"/>
      <c r="C54" s="792"/>
      <c r="D54" s="1">
        <v>1</v>
      </c>
      <c r="E54" s="1">
        <v>1</v>
      </c>
      <c r="F54" s="279"/>
      <c r="G54" s="279">
        <v>1</v>
      </c>
      <c r="H54" s="305"/>
      <c r="I54" s="22" t="s">
        <v>212</v>
      </c>
      <c r="J54" s="222" t="s">
        <v>212</v>
      </c>
      <c r="K54" s="78">
        <v>1997</v>
      </c>
      <c r="L54" s="1" t="s">
        <v>366</v>
      </c>
      <c r="M54" s="1100"/>
      <c r="N54" s="1098"/>
      <c r="O54" s="1120"/>
      <c r="P54" s="1120"/>
      <c r="Q54" s="1120"/>
      <c r="R54" s="1100"/>
      <c r="S54" s="1098"/>
      <c r="T54" s="1099"/>
      <c r="U54" s="1121"/>
    </row>
    <row r="55" spans="1:21" s="111" customFormat="1" ht="15" customHeight="1">
      <c r="A55" s="794"/>
      <c r="B55" s="795"/>
      <c r="C55" s="792"/>
      <c r="D55" s="1">
        <v>1</v>
      </c>
      <c r="E55" s="22">
        <v>1</v>
      </c>
      <c r="F55" s="77"/>
      <c r="G55" s="77">
        <v>1</v>
      </c>
      <c r="H55" s="22"/>
      <c r="I55" s="22" t="s">
        <v>212</v>
      </c>
      <c r="J55" s="222" t="s">
        <v>212</v>
      </c>
      <c r="K55" s="78">
        <v>1998</v>
      </c>
      <c r="L55" s="22" t="s">
        <v>366</v>
      </c>
      <c r="M55" s="22">
        <v>0</v>
      </c>
      <c r="N55" s="195">
        <v>20.384</v>
      </c>
      <c r="O55" s="335">
        <f>M55*N55</f>
        <v>0</v>
      </c>
      <c r="P55" s="335">
        <v>0</v>
      </c>
      <c r="Q55" s="335">
        <v>0</v>
      </c>
      <c r="R55" s="198">
        <v>3</v>
      </c>
      <c r="S55" s="368">
        <v>23.73</v>
      </c>
      <c r="T55" s="195">
        <f>R55*S55</f>
        <v>71.19</v>
      </c>
      <c r="U55" s="338">
        <f>T55+Q55+P55+O55</f>
        <v>71.19</v>
      </c>
    </row>
    <row r="56" spans="1:21" s="111" customFormat="1" ht="15" customHeight="1">
      <c r="A56" s="769" t="s">
        <v>431</v>
      </c>
      <c r="B56" s="693"/>
      <c r="C56" s="297"/>
      <c r="D56" s="1"/>
      <c r="E56" s="285"/>
      <c r="F56" s="606"/>
      <c r="G56" s="606"/>
      <c r="H56" s="285"/>
      <c r="I56" s="285"/>
      <c r="J56" s="297"/>
      <c r="K56" s="322"/>
      <c r="L56" s="22" t="s">
        <v>455</v>
      </c>
      <c r="M56" s="22"/>
      <c r="N56" s="195"/>
      <c r="O56" s="335"/>
      <c r="P56" s="335"/>
      <c r="Q56" s="335"/>
      <c r="R56" s="198"/>
      <c r="S56" s="325"/>
      <c r="T56" s="195"/>
      <c r="U56" s="338">
        <v>200</v>
      </c>
    </row>
    <row r="57" spans="1:21" s="111" customFormat="1" ht="15" customHeight="1">
      <c r="A57" s="769" t="s">
        <v>80</v>
      </c>
      <c r="B57" s="693"/>
      <c r="C57" s="297"/>
      <c r="D57" s="1"/>
      <c r="E57" s="285"/>
      <c r="F57" s="606"/>
      <c r="G57" s="606"/>
      <c r="H57" s="285"/>
      <c r="I57" s="285"/>
      <c r="J57" s="297"/>
      <c r="K57" s="322"/>
      <c r="L57" s="22"/>
      <c r="M57" s="22"/>
      <c r="N57" s="195"/>
      <c r="O57" s="335"/>
      <c r="P57" s="335"/>
      <c r="Q57" s="335"/>
      <c r="R57" s="198"/>
      <c r="S57" s="325"/>
      <c r="T57" s="195"/>
      <c r="U57" s="338">
        <v>2031.47</v>
      </c>
    </row>
    <row r="58" spans="1:21" s="111" customFormat="1" ht="15" customHeight="1">
      <c r="A58" s="769" t="s">
        <v>51</v>
      </c>
      <c r="B58" s="296"/>
      <c r="C58" s="279"/>
      <c r="D58" s="305"/>
      <c r="E58" s="305"/>
      <c r="F58" s="305"/>
      <c r="G58" s="305"/>
      <c r="H58" s="305"/>
      <c r="I58" s="335"/>
      <c r="J58" s="305"/>
      <c r="K58" s="305"/>
      <c r="L58" s="198"/>
      <c r="M58" s="198"/>
      <c r="N58" s="195"/>
      <c r="O58" s="378"/>
      <c r="P58" s="378"/>
      <c r="Q58" s="378"/>
      <c r="R58" s="198"/>
      <c r="S58" s="340"/>
      <c r="T58" s="340"/>
      <c r="U58" s="338">
        <f>4612.08-T59</f>
        <v>3573.8925</v>
      </c>
    </row>
    <row r="59" spans="1:21" s="213" customFormat="1" ht="15" customHeight="1">
      <c r="A59" s="1030" t="s">
        <v>341</v>
      </c>
      <c r="B59" s="1030"/>
      <c r="C59" s="202"/>
      <c r="D59" s="205">
        <f>SUM(D48:D58)</f>
        <v>8</v>
      </c>
      <c r="E59" s="205">
        <f>SUM(E48:E58)</f>
        <v>8</v>
      </c>
      <c r="F59" s="205">
        <v>0</v>
      </c>
      <c r="G59" s="205">
        <f>SUM(G48:G58)</f>
        <v>8</v>
      </c>
      <c r="H59" s="205">
        <v>0</v>
      </c>
      <c r="I59" s="312"/>
      <c r="J59" s="207"/>
      <c r="K59" s="207"/>
      <c r="L59" s="203"/>
      <c r="M59" s="203">
        <f>SUM(M48:M58)</f>
        <v>29.5</v>
      </c>
      <c r="N59" s="312"/>
      <c r="O59" s="312">
        <f>SUM(O48:O58)</f>
        <v>601.328</v>
      </c>
      <c r="P59" s="312">
        <f>SUM(P48:P58)</f>
        <v>110.62</v>
      </c>
      <c r="Q59" s="312">
        <f>SUM(Q48:Q58)</f>
        <v>102.99</v>
      </c>
      <c r="R59" s="203">
        <f>SUM(R48:R58)</f>
        <v>43.75</v>
      </c>
      <c r="S59" s="312"/>
      <c r="T59" s="204">
        <f>SUM(T48:T58)</f>
        <v>1038.1875</v>
      </c>
      <c r="U59" s="204">
        <f>SUM(U48:U58)</f>
        <v>7658.488</v>
      </c>
    </row>
    <row r="60" spans="1:21" s="213" customFormat="1" ht="15" customHeight="1">
      <c r="A60" s="1027" t="s">
        <v>71</v>
      </c>
      <c r="B60" s="1027"/>
      <c r="C60" s="87"/>
      <c r="D60" s="365"/>
      <c r="E60" s="314"/>
      <c r="F60" s="314"/>
      <c r="G60" s="314"/>
      <c r="H60" s="314"/>
      <c r="I60" s="315"/>
      <c r="J60" s="314"/>
      <c r="K60" s="314"/>
      <c r="L60" s="199"/>
      <c r="M60" s="315"/>
      <c r="N60" s="315"/>
      <c r="O60" s="199"/>
      <c r="P60" s="199"/>
      <c r="Q60" s="199"/>
      <c r="R60" s="199"/>
      <c r="S60" s="315"/>
      <c r="T60" s="103"/>
      <c r="U60" s="103"/>
    </row>
    <row r="61" spans="1:21" s="213" customFormat="1" ht="48.75" customHeight="1">
      <c r="A61" s="692" t="s">
        <v>332</v>
      </c>
      <c r="B61" s="692" t="s">
        <v>333</v>
      </c>
      <c r="C61" s="39" t="s">
        <v>213</v>
      </c>
      <c r="D61" s="115" t="s">
        <v>36</v>
      </c>
      <c r="E61" s="115" t="s">
        <v>73</v>
      </c>
      <c r="F61" s="115" t="s">
        <v>74</v>
      </c>
      <c r="G61" s="115" t="s">
        <v>37</v>
      </c>
      <c r="H61" s="115" t="s">
        <v>38</v>
      </c>
      <c r="I61" s="115" t="s">
        <v>15</v>
      </c>
      <c r="J61" s="115" t="s">
        <v>214</v>
      </c>
      <c r="K61" s="115" t="s">
        <v>39</v>
      </c>
      <c r="L61" s="631" t="s">
        <v>84</v>
      </c>
      <c r="M61" s="632" t="s">
        <v>271</v>
      </c>
      <c r="N61" s="633" t="s">
        <v>40</v>
      </c>
      <c r="O61" s="632" t="s">
        <v>238</v>
      </c>
      <c r="P61" s="634" t="s">
        <v>260</v>
      </c>
      <c r="Q61" s="634" t="s">
        <v>265</v>
      </c>
      <c r="R61" s="632" t="s">
        <v>240</v>
      </c>
      <c r="S61" s="633" t="s">
        <v>40</v>
      </c>
      <c r="T61" s="632" t="s">
        <v>261</v>
      </c>
      <c r="U61" s="595" t="s">
        <v>58</v>
      </c>
    </row>
    <row r="62" spans="1:21" s="213" customFormat="1" ht="15" customHeight="1">
      <c r="A62" s="1031" t="s">
        <v>22</v>
      </c>
      <c r="B62" s="1032"/>
      <c r="C62" s="205"/>
      <c r="D62" s="205">
        <v>0</v>
      </c>
      <c r="E62" s="205">
        <v>0</v>
      </c>
      <c r="F62" s="205">
        <v>0</v>
      </c>
      <c r="G62" s="205">
        <v>0</v>
      </c>
      <c r="H62" s="205">
        <v>0</v>
      </c>
      <c r="I62" s="205"/>
      <c r="J62" s="205"/>
      <c r="K62" s="205"/>
      <c r="L62" s="500"/>
      <c r="M62" s="203">
        <f>SUM(M59:M60)</f>
        <v>29.5</v>
      </c>
      <c r="N62" s="204">
        <v>0</v>
      </c>
      <c r="O62" s="312">
        <v>0</v>
      </c>
      <c r="P62" s="312">
        <v>0</v>
      </c>
      <c r="Q62" s="312">
        <v>0</v>
      </c>
      <c r="R62" s="203">
        <v>0</v>
      </c>
      <c r="S62" s="204"/>
      <c r="T62" s="204">
        <v>0</v>
      </c>
      <c r="U62" s="204">
        <v>0</v>
      </c>
    </row>
    <row r="63" spans="1:21" s="4" customFormat="1" ht="15" customHeight="1">
      <c r="A63" s="1027" t="s">
        <v>72</v>
      </c>
      <c r="B63" s="1027"/>
      <c r="C63" s="87"/>
      <c r="D63" s="365"/>
      <c r="E63" s="314"/>
      <c r="F63" s="314"/>
      <c r="G63" s="314"/>
      <c r="H63" s="314"/>
      <c r="I63" s="315"/>
      <c r="J63" s="314"/>
      <c r="K63" s="314"/>
      <c r="L63" s="199"/>
      <c r="M63" s="315"/>
      <c r="N63" s="315"/>
      <c r="O63" s="199"/>
      <c r="P63" s="199"/>
      <c r="Q63" s="199"/>
      <c r="R63" s="199"/>
      <c r="S63" s="315"/>
      <c r="T63" s="103"/>
      <c r="U63" s="103"/>
    </row>
    <row r="64" spans="1:21" s="50" customFormat="1" ht="48.75" customHeight="1">
      <c r="A64" s="39" t="s">
        <v>332</v>
      </c>
      <c r="B64" s="39" t="s">
        <v>333</v>
      </c>
      <c r="C64" s="39" t="s">
        <v>213</v>
      </c>
      <c r="D64" s="115" t="s">
        <v>36</v>
      </c>
      <c r="E64" s="115" t="s">
        <v>73</v>
      </c>
      <c r="F64" s="115" t="s">
        <v>74</v>
      </c>
      <c r="G64" s="115" t="s">
        <v>37</v>
      </c>
      <c r="H64" s="115" t="s">
        <v>38</v>
      </c>
      <c r="I64" s="115" t="s">
        <v>15</v>
      </c>
      <c r="J64" s="115" t="s">
        <v>214</v>
      </c>
      <c r="K64" s="115" t="s">
        <v>39</v>
      </c>
      <c r="L64" s="631" t="s">
        <v>84</v>
      </c>
      <c r="M64" s="632" t="s">
        <v>271</v>
      </c>
      <c r="N64" s="633" t="s">
        <v>40</v>
      </c>
      <c r="O64" s="632" t="s">
        <v>238</v>
      </c>
      <c r="P64" s="634" t="s">
        <v>260</v>
      </c>
      <c r="Q64" s="634" t="s">
        <v>265</v>
      </c>
      <c r="R64" s="632" t="s">
        <v>240</v>
      </c>
      <c r="S64" s="633" t="s">
        <v>40</v>
      </c>
      <c r="T64" s="632" t="s">
        <v>261</v>
      </c>
      <c r="U64" s="595" t="s">
        <v>58</v>
      </c>
    </row>
    <row r="65" spans="1:21" s="4" customFormat="1" ht="15" customHeight="1">
      <c r="A65" s="791"/>
      <c r="B65" s="791"/>
      <c r="C65" s="792"/>
      <c r="D65" s="1">
        <v>1</v>
      </c>
      <c r="E65" s="22"/>
      <c r="F65" s="22">
        <v>1</v>
      </c>
      <c r="G65" s="22">
        <v>1</v>
      </c>
      <c r="H65" s="22"/>
      <c r="I65" s="22" t="s">
        <v>212</v>
      </c>
      <c r="J65" s="222" t="s">
        <v>212</v>
      </c>
      <c r="K65" s="15">
        <v>1996</v>
      </c>
      <c r="L65" s="1" t="s">
        <v>53</v>
      </c>
      <c r="M65" s="382">
        <v>0</v>
      </c>
      <c r="N65" s="340">
        <v>20.384</v>
      </c>
      <c r="O65" s="23">
        <v>0</v>
      </c>
      <c r="P65" s="23">
        <v>0</v>
      </c>
      <c r="Q65" s="23">
        <v>0</v>
      </c>
      <c r="R65" s="198">
        <v>22.5</v>
      </c>
      <c r="S65" s="368">
        <v>23.73</v>
      </c>
      <c r="T65" s="195">
        <f>R65*S65</f>
        <v>533.925</v>
      </c>
      <c r="U65" s="195">
        <f>T65+P65+O65+Q65</f>
        <v>533.925</v>
      </c>
    </row>
    <row r="66" spans="1:21" s="4" customFormat="1" ht="15" customHeight="1">
      <c r="A66" s="791"/>
      <c r="B66" s="791"/>
      <c r="C66" s="792"/>
      <c r="D66" s="1">
        <v>1</v>
      </c>
      <c r="E66" s="22">
        <v>1</v>
      </c>
      <c r="F66" s="22"/>
      <c r="G66" s="22">
        <v>1</v>
      </c>
      <c r="H66" s="22"/>
      <c r="I66" s="22" t="s">
        <v>212</v>
      </c>
      <c r="J66" s="222" t="s">
        <v>422</v>
      </c>
      <c r="K66" s="15">
        <v>1999</v>
      </c>
      <c r="L66" s="1" t="s">
        <v>366</v>
      </c>
      <c r="M66" s="382">
        <v>0</v>
      </c>
      <c r="N66" s="340">
        <v>20.384</v>
      </c>
      <c r="O66" s="23">
        <v>0</v>
      </c>
      <c r="P66" s="23">
        <v>0</v>
      </c>
      <c r="Q66" s="23">
        <v>0</v>
      </c>
      <c r="R66" s="198">
        <v>67</v>
      </c>
      <c r="S66" s="368">
        <v>23.73</v>
      </c>
      <c r="T66" s="195">
        <f>R66*S66</f>
        <v>1589.91</v>
      </c>
      <c r="U66" s="195">
        <f>T66+P66+O66+Q66</f>
        <v>1589.91</v>
      </c>
    </row>
    <row r="67" spans="1:21" s="4" customFormat="1" ht="15" customHeight="1">
      <c r="A67" s="791"/>
      <c r="B67" s="791"/>
      <c r="C67" s="792"/>
      <c r="D67" s="1">
        <v>1</v>
      </c>
      <c r="E67" s="22">
        <v>1</v>
      </c>
      <c r="F67" s="22"/>
      <c r="G67" s="22">
        <v>1</v>
      </c>
      <c r="H67" s="22"/>
      <c r="I67" s="22" t="s">
        <v>212</v>
      </c>
      <c r="J67" s="222" t="s">
        <v>422</v>
      </c>
      <c r="K67" s="15">
        <v>1996</v>
      </c>
      <c r="L67" s="1" t="s">
        <v>366</v>
      </c>
      <c r="M67" s="22">
        <v>208.5</v>
      </c>
      <c r="N67" s="145">
        <v>19.812</v>
      </c>
      <c r="O67" s="23">
        <f>M67*N67</f>
        <v>4130.802000000001</v>
      </c>
      <c r="P67" s="23">
        <v>281.08</v>
      </c>
      <c r="Q67" s="23">
        <f>14.62+16.64</f>
        <v>31.259999999999998</v>
      </c>
      <c r="R67" s="198">
        <v>75</v>
      </c>
      <c r="S67" s="368">
        <v>23.73</v>
      </c>
      <c r="T67" s="195">
        <f>R67*S67</f>
        <v>1779.75</v>
      </c>
      <c r="U67" s="195">
        <f>T67+P67+O67+Q67</f>
        <v>6222.892000000001</v>
      </c>
    </row>
    <row r="68" spans="1:21" s="4" customFormat="1" ht="15" customHeight="1">
      <c r="A68" s="791"/>
      <c r="B68" s="791"/>
      <c r="C68" s="792"/>
      <c r="D68" s="1"/>
      <c r="E68" s="22"/>
      <c r="F68" s="22"/>
      <c r="G68" s="22"/>
      <c r="H68" s="22"/>
      <c r="I68" s="22"/>
      <c r="J68" s="222"/>
      <c r="K68" s="15"/>
      <c r="L68" s="22" t="s">
        <v>273</v>
      </c>
      <c r="M68" s="22"/>
      <c r="N68" s="378"/>
      <c r="O68" s="198"/>
      <c r="P68" s="198"/>
      <c r="Q68" s="198"/>
      <c r="R68" s="198"/>
      <c r="S68" s="378"/>
      <c r="T68" s="1"/>
      <c r="U68" s="338">
        <v>628.62</v>
      </c>
    </row>
    <row r="69" spans="1:21" s="4" customFormat="1" ht="15" customHeight="1">
      <c r="A69" s="769" t="s">
        <v>80</v>
      </c>
      <c r="B69" s="686"/>
      <c r="C69" s="297"/>
      <c r="D69" s="1"/>
      <c r="E69" s="285"/>
      <c r="F69" s="285"/>
      <c r="G69" s="285"/>
      <c r="H69" s="22"/>
      <c r="I69" s="285"/>
      <c r="J69" s="297"/>
      <c r="K69" s="287"/>
      <c r="L69" s="22"/>
      <c r="M69" s="22"/>
      <c r="N69" s="378"/>
      <c r="O69" s="198"/>
      <c r="P69" s="198"/>
      <c r="Q69" s="198"/>
      <c r="R69" s="198"/>
      <c r="S69" s="378"/>
      <c r="T69" s="1"/>
      <c r="U69" s="338">
        <v>25.15</v>
      </c>
    </row>
    <row r="70" spans="1:21" s="4" customFormat="1" ht="15" customHeight="1">
      <c r="A70" s="769" t="s">
        <v>51</v>
      </c>
      <c r="B70" s="686"/>
      <c r="C70" s="297"/>
      <c r="D70" s="1"/>
      <c r="E70" s="285"/>
      <c r="F70" s="285"/>
      <c r="G70" s="285"/>
      <c r="H70" s="22"/>
      <c r="I70" s="285"/>
      <c r="J70" s="297"/>
      <c r="K70" s="287"/>
      <c r="L70" s="22"/>
      <c r="M70" s="22"/>
      <c r="N70" s="378"/>
      <c r="O70" s="198"/>
      <c r="P70" s="198"/>
      <c r="Q70" s="198"/>
      <c r="R70" s="198"/>
      <c r="S70" s="378"/>
      <c r="T70" s="1"/>
      <c r="U70" s="338">
        <f>3451.8-T71</f>
        <v>-451.78499999999985</v>
      </c>
    </row>
    <row r="71" spans="1:21" s="213" customFormat="1" ht="15" customHeight="1">
      <c r="A71" s="1030" t="s">
        <v>328</v>
      </c>
      <c r="B71" s="1030"/>
      <c r="C71" s="202"/>
      <c r="D71" s="205">
        <f>SUM(D65:D67)</f>
        <v>3</v>
      </c>
      <c r="E71" s="205">
        <f>SUM(E66:E67)</f>
        <v>2</v>
      </c>
      <c r="F71" s="205">
        <f>SUM(F65:F67)</f>
        <v>1</v>
      </c>
      <c r="G71" s="205">
        <f>SUM(G65:G67)</f>
        <v>3</v>
      </c>
      <c r="H71" s="205">
        <v>0</v>
      </c>
      <c r="I71" s="312"/>
      <c r="J71" s="207"/>
      <c r="K71" s="207"/>
      <c r="L71" s="203"/>
      <c r="M71" s="203">
        <f>SUM(M65:M70)</f>
        <v>208.5</v>
      </c>
      <c r="N71" s="312"/>
      <c r="O71" s="312"/>
      <c r="P71" s="312"/>
      <c r="Q71" s="312"/>
      <c r="R71" s="203">
        <f>SUM(R65:R67)</f>
        <v>164.5</v>
      </c>
      <c r="S71" s="312"/>
      <c r="T71" s="204">
        <f>SUM(T65:T70)</f>
        <v>3903.585</v>
      </c>
      <c r="U71" s="204">
        <f>SUM(U65:U70)</f>
        <v>8548.712000000001</v>
      </c>
    </row>
    <row r="72" spans="1:21" s="51" customFormat="1" ht="15" customHeight="1">
      <c r="A72" s="1047" t="s">
        <v>181</v>
      </c>
      <c r="B72" s="1047"/>
      <c r="C72" s="290"/>
      <c r="D72" s="21"/>
      <c r="E72" s="291"/>
      <c r="F72" s="291"/>
      <c r="G72" s="291"/>
      <c r="H72" s="291"/>
      <c r="I72" s="386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195">
        <v>1170.95</v>
      </c>
    </row>
    <row r="73" spans="1:21" s="66" customFormat="1" ht="15" customHeight="1">
      <c r="A73" s="1037" t="s">
        <v>227</v>
      </c>
      <c r="B73" s="1037"/>
      <c r="C73" s="107"/>
      <c r="D73" s="101">
        <f>D71+D59+D45+D36+D25+D20+D7</f>
        <v>29</v>
      </c>
      <c r="E73" s="101">
        <f>E71+E59+E45+E36+E25+E20+E7</f>
        <v>23</v>
      </c>
      <c r="F73" s="101">
        <f>F71+F59+F45+F36+F25+F20+F7</f>
        <v>6</v>
      </c>
      <c r="G73" s="101">
        <f>G71+G59+G45+G36+G25+G20+G7</f>
        <v>27</v>
      </c>
      <c r="H73" s="101">
        <f>H71+H59+H45+H36+H25+H20+H7</f>
        <v>2</v>
      </c>
      <c r="I73" s="150"/>
      <c r="J73" s="350"/>
      <c r="K73" s="350"/>
      <c r="L73" s="350"/>
      <c r="M73" s="217">
        <f>M71+M59+M45+M36+M25+M20+M7</f>
        <v>1425.5</v>
      </c>
      <c r="N73" s="363"/>
      <c r="O73" s="257"/>
      <c r="P73" s="257"/>
      <c r="Q73" s="257"/>
      <c r="R73" s="217">
        <f>R71+R59+R45+R36+R25+R20+R7</f>
        <v>389.25</v>
      </c>
      <c r="S73" s="363"/>
      <c r="T73" s="350"/>
      <c r="U73" s="201">
        <f>U72+U71+U59+U45+U36+U25+U20+U7</f>
        <v>54799.642900000006</v>
      </c>
    </row>
    <row r="74" spans="10:12" ht="12.75">
      <c r="J74" s="292"/>
      <c r="K74" s="292"/>
      <c r="L74" s="278"/>
    </row>
  </sheetData>
  <mergeCells count="70">
    <mergeCell ref="A63:B63"/>
    <mergeCell ref="A71:B71"/>
    <mergeCell ref="A72:B72"/>
    <mergeCell ref="A73:B73"/>
    <mergeCell ref="A21:B21"/>
    <mergeCell ref="A25:B25"/>
    <mergeCell ref="A26:B26"/>
    <mergeCell ref="A36:B36"/>
    <mergeCell ref="A3:B3"/>
    <mergeCell ref="A7:B7"/>
    <mergeCell ref="A8:B8"/>
    <mergeCell ref="A20:B20"/>
    <mergeCell ref="A1:T1"/>
    <mergeCell ref="A2:U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U31:U34"/>
    <mergeCell ref="M49:M54"/>
    <mergeCell ref="N49:N54"/>
    <mergeCell ref="O49:O54"/>
    <mergeCell ref="P49:P54"/>
    <mergeCell ref="Q49:Q54"/>
    <mergeCell ref="U49:U54"/>
    <mergeCell ref="U29:U30"/>
    <mergeCell ref="M31:M34"/>
    <mergeCell ref="N31:N34"/>
    <mergeCell ref="O31:O34"/>
    <mergeCell ref="P31:P34"/>
    <mergeCell ref="Q31:Q34"/>
    <mergeCell ref="R31:R34"/>
    <mergeCell ref="S31:S34"/>
    <mergeCell ref="T31:T34"/>
    <mergeCell ref="Q13:Q14"/>
    <mergeCell ref="R13:R14"/>
    <mergeCell ref="S13:S14"/>
    <mergeCell ref="L13:L14"/>
    <mergeCell ref="M13:M14"/>
    <mergeCell ref="N13:N14"/>
    <mergeCell ref="O13:O14"/>
    <mergeCell ref="U13:U14"/>
    <mergeCell ref="L29:L30"/>
    <mergeCell ref="M29:M30"/>
    <mergeCell ref="N29:N30"/>
    <mergeCell ref="O29:O30"/>
    <mergeCell ref="P29:P30"/>
    <mergeCell ref="Q29:Q30"/>
    <mergeCell ref="R29:R30"/>
    <mergeCell ref="S29:S30"/>
    <mergeCell ref="P13:P14"/>
    <mergeCell ref="T49:T54"/>
    <mergeCell ref="S49:S54"/>
    <mergeCell ref="R49:R54"/>
    <mergeCell ref="T13:T14"/>
    <mergeCell ref="T29:T30"/>
    <mergeCell ref="A60:B60"/>
    <mergeCell ref="A62:B62"/>
    <mergeCell ref="A37:B37"/>
    <mergeCell ref="A39:B39"/>
    <mergeCell ref="A40:B40"/>
    <mergeCell ref="A45:B45"/>
    <mergeCell ref="A46:B46"/>
    <mergeCell ref="A59:B5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7"/>
  </sheetPr>
  <dimension ref="A1:Q83"/>
  <sheetViews>
    <sheetView workbookViewId="0" topLeftCell="C64">
      <selection activeCell="A72" sqref="A72:C80"/>
    </sheetView>
  </sheetViews>
  <sheetFormatPr defaultColWidth="9.140625" defaultRowHeight="12.75"/>
  <cols>
    <col min="1" max="3" width="20.7109375" style="4" customWidth="1"/>
    <col min="4" max="4" width="7.57421875" style="3" customWidth="1"/>
    <col min="5" max="5" width="5.7109375" style="303" customWidth="1"/>
    <col min="6" max="6" width="5.7109375" style="3" customWidth="1"/>
    <col min="7" max="8" width="9.7109375" style="3" customWidth="1"/>
    <col min="9" max="10" width="13.7109375" style="3" customWidth="1"/>
    <col min="11" max="11" width="10.140625" style="3" customWidth="1"/>
    <col min="12" max="12" width="25.421875" style="9" customWidth="1"/>
    <col min="13" max="13" width="12.7109375" style="4" customWidth="1"/>
    <col min="14" max="14" width="12.8515625" style="334" customWidth="1"/>
    <col min="15" max="15" width="18.57421875" style="212" customWidth="1"/>
    <col min="16" max="16" width="16.8515625" style="9" customWidth="1"/>
    <col min="17" max="17" width="20.00390625" style="9" customWidth="1"/>
    <col min="18" max="16384" width="11.57421875" style="9" customWidth="1"/>
  </cols>
  <sheetData>
    <row r="1" spans="1:15" s="5" customFormat="1" ht="30" customHeight="1">
      <c r="A1" s="1123" t="s">
        <v>272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589">
        <v>40070184</v>
      </c>
    </row>
    <row r="2" spans="1:15" s="6" customFormat="1" ht="27.75" customHeight="1">
      <c r="A2" s="1044" t="s">
        <v>274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125"/>
      <c r="M2" s="1125"/>
      <c r="N2" s="1125"/>
      <c r="O2" s="1125"/>
    </row>
    <row r="3" spans="1:15" s="4" customFormat="1" ht="15" customHeight="1">
      <c r="A3" s="1027" t="s">
        <v>66</v>
      </c>
      <c r="B3" s="1027"/>
      <c r="C3" s="87"/>
      <c r="D3" s="87"/>
      <c r="E3" s="300"/>
      <c r="F3" s="87"/>
      <c r="G3" s="87"/>
      <c r="H3" s="87"/>
      <c r="I3" s="87"/>
      <c r="J3" s="87"/>
      <c r="K3" s="87"/>
      <c r="L3" s="593"/>
      <c r="M3" s="44"/>
      <c r="N3" s="327"/>
      <c r="O3" s="211"/>
    </row>
    <row r="4" spans="1:15" s="50" customFormat="1" ht="48.75" customHeight="1">
      <c r="A4" s="39" t="s">
        <v>332</v>
      </c>
      <c r="B4" s="39" t="s">
        <v>333</v>
      </c>
      <c r="C4" s="39" t="s">
        <v>213</v>
      </c>
      <c r="D4" s="115" t="s">
        <v>36</v>
      </c>
      <c r="E4" s="115" t="s">
        <v>73</v>
      </c>
      <c r="F4" s="115" t="s">
        <v>74</v>
      </c>
      <c r="G4" s="115" t="s">
        <v>37</v>
      </c>
      <c r="H4" s="115" t="s">
        <v>38</v>
      </c>
      <c r="I4" s="115" t="s">
        <v>15</v>
      </c>
      <c r="J4" s="115" t="s">
        <v>214</v>
      </c>
      <c r="K4" s="115" t="s">
        <v>39</v>
      </c>
      <c r="L4" s="115" t="s">
        <v>84</v>
      </c>
      <c r="M4" s="360" t="s">
        <v>479</v>
      </c>
      <c r="N4" s="607" t="s">
        <v>40</v>
      </c>
      <c r="O4" s="595" t="s">
        <v>58</v>
      </c>
    </row>
    <row r="5" spans="1:15" s="421" customFormat="1" ht="15" customHeight="1">
      <c r="A5" s="789"/>
      <c r="B5" s="789"/>
      <c r="C5" s="790"/>
      <c r="D5" s="7">
        <v>1</v>
      </c>
      <c r="E5" s="429">
        <v>1</v>
      </c>
      <c r="F5" s="429"/>
      <c r="G5" s="409"/>
      <c r="H5" s="409">
        <v>1</v>
      </c>
      <c r="I5" s="409" t="s">
        <v>212</v>
      </c>
      <c r="J5" s="409" t="s">
        <v>326</v>
      </c>
      <c r="K5" s="429">
        <v>2005</v>
      </c>
      <c r="L5" s="409" t="s">
        <v>366</v>
      </c>
      <c r="M5" s="198">
        <v>142</v>
      </c>
      <c r="N5" s="433">
        <v>20.384</v>
      </c>
      <c r="O5" s="368">
        <f aca="true" t="shared" si="0" ref="O5:O10">M5*N5</f>
        <v>2894.5280000000002</v>
      </c>
    </row>
    <row r="6" spans="1:15" s="278" customFormat="1" ht="15" customHeight="1">
      <c r="A6" s="793"/>
      <c r="B6" s="793"/>
      <c r="C6" s="790"/>
      <c r="D6" s="7">
        <v>1</v>
      </c>
      <c r="E6" s="429"/>
      <c r="F6" s="429">
        <v>1</v>
      </c>
      <c r="G6" s="429">
        <v>1</v>
      </c>
      <c r="H6" s="429"/>
      <c r="I6" s="409" t="s">
        <v>212</v>
      </c>
      <c r="J6" s="409" t="s">
        <v>212</v>
      </c>
      <c r="K6" s="429">
        <v>2001</v>
      </c>
      <c r="L6" s="409" t="s">
        <v>366</v>
      </c>
      <c r="M6" s="198">
        <v>36.5</v>
      </c>
      <c r="N6" s="433">
        <v>20.384</v>
      </c>
      <c r="O6" s="368">
        <f t="shared" si="0"/>
        <v>744.016</v>
      </c>
    </row>
    <row r="7" spans="1:15" s="278" customFormat="1" ht="15" customHeight="1">
      <c r="A7" s="793"/>
      <c r="B7" s="793"/>
      <c r="C7" s="790"/>
      <c r="D7" s="1">
        <v>1</v>
      </c>
      <c r="E7" s="1">
        <v>1</v>
      </c>
      <c r="F7" s="1"/>
      <c r="G7" s="429">
        <v>1</v>
      </c>
      <c r="H7" s="1"/>
      <c r="I7" s="409" t="s">
        <v>212</v>
      </c>
      <c r="J7" s="409" t="s">
        <v>212</v>
      </c>
      <c r="K7" s="429">
        <v>2003</v>
      </c>
      <c r="L7" s="1" t="s">
        <v>366</v>
      </c>
      <c r="M7" s="198">
        <v>23</v>
      </c>
      <c r="N7" s="329">
        <v>20.384</v>
      </c>
      <c r="O7" s="368">
        <f t="shared" si="0"/>
        <v>468.832</v>
      </c>
    </row>
    <row r="8" spans="1:15" s="278" customFormat="1" ht="15" customHeight="1">
      <c r="A8" s="793"/>
      <c r="B8" s="793"/>
      <c r="C8" s="790"/>
      <c r="D8" s="1">
        <v>1</v>
      </c>
      <c r="E8" s="429">
        <v>1</v>
      </c>
      <c r="F8" s="429"/>
      <c r="G8" s="429"/>
      <c r="H8" s="429">
        <v>1</v>
      </c>
      <c r="I8" s="409" t="s">
        <v>212</v>
      </c>
      <c r="J8" s="409" t="s">
        <v>335</v>
      </c>
      <c r="K8" s="1">
        <v>2003</v>
      </c>
      <c r="L8" s="1" t="s">
        <v>366</v>
      </c>
      <c r="M8" s="200">
        <v>163</v>
      </c>
      <c r="N8" s="329">
        <v>20.384</v>
      </c>
      <c r="O8" s="368">
        <f t="shared" si="0"/>
        <v>3322.592</v>
      </c>
    </row>
    <row r="9" spans="1:15" s="278" customFormat="1" ht="15" customHeight="1">
      <c r="A9" s="793"/>
      <c r="B9" s="839"/>
      <c r="C9" s="790"/>
      <c r="D9" s="1">
        <v>1</v>
      </c>
      <c r="E9" s="429"/>
      <c r="F9" s="429">
        <v>1</v>
      </c>
      <c r="G9" s="429"/>
      <c r="H9" s="429">
        <v>1</v>
      </c>
      <c r="I9" s="409" t="s">
        <v>212</v>
      </c>
      <c r="J9" s="409" t="s">
        <v>477</v>
      </c>
      <c r="K9" s="429">
        <v>2005</v>
      </c>
      <c r="L9" s="1" t="s">
        <v>366</v>
      </c>
      <c r="M9" s="200">
        <f>239+36</f>
        <v>275</v>
      </c>
      <c r="N9" s="329">
        <v>20.384</v>
      </c>
      <c r="O9" s="368">
        <f t="shared" si="0"/>
        <v>5605.6</v>
      </c>
    </row>
    <row r="10" spans="1:15" s="278" customFormat="1" ht="15" customHeight="1">
      <c r="A10" s="793"/>
      <c r="B10" s="839"/>
      <c r="C10" s="790"/>
      <c r="D10" s="1">
        <v>1</v>
      </c>
      <c r="E10" s="429">
        <v>1</v>
      </c>
      <c r="F10" s="429"/>
      <c r="G10" s="429">
        <v>1</v>
      </c>
      <c r="H10" s="429"/>
      <c r="I10" s="409" t="s">
        <v>212</v>
      </c>
      <c r="J10" s="409" t="s">
        <v>212</v>
      </c>
      <c r="K10" s="429">
        <v>2006</v>
      </c>
      <c r="L10" s="1" t="s">
        <v>366</v>
      </c>
      <c r="M10" s="198">
        <f>18+18</f>
        <v>36</v>
      </c>
      <c r="N10" s="329">
        <v>20.384</v>
      </c>
      <c r="O10" s="368">
        <f t="shared" si="0"/>
        <v>733.8240000000001</v>
      </c>
    </row>
    <row r="11" spans="1:16" s="206" customFormat="1" ht="15" customHeight="1">
      <c r="A11" s="1030" t="s">
        <v>75</v>
      </c>
      <c r="B11" s="1030"/>
      <c r="C11" s="104"/>
      <c r="D11" s="104">
        <f>SUM(D5:D10)</f>
        <v>6</v>
      </c>
      <c r="E11" s="104">
        <f>SUM(E5:E10)</f>
        <v>4</v>
      </c>
      <c r="F11" s="104">
        <f>SUM(F5:F10)</f>
        <v>2</v>
      </c>
      <c r="G11" s="104">
        <f>SUM(G5:G10)</f>
        <v>3</v>
      </c>
      <c r="H11" s="104">
        <f>SUM(H5:H10)</f>
        <v>3</v>
      </c>
      <c r="I11" s="104"/>
      <c r="J11" s="104"/>
      <c r="K11" s="104"/>
      <c r="L11" s="596"/>
      <c r="M11" s="203">
        <f>SUM(M5:M10)</f>
        <v>675.5</v>
      </c>
      <c r="N11" s="330"/>
      <c r="O11" s="204">
        <f>SUM(O5:O10)</f>
        <v>13769.392000000002</v>
      </c>
      <c r="P11" s="209"/>
    </row>
    <row r="12" spans="1:15" s="4" customFormat="1" ht="15" customHeight="1">
      <c r="A12" s="1027" t="s">
        <v>64</v>
      </c>
      <c r="B12" s="1027"/>
      <c r="C12" s="87"/>
      <c r="D12" s="87"/>
      <c r="E12" s="300"/>
      <c r="F12" s="87"/>
      <c r="G12" s="87"/>
      <c r="H12" s="87"/>
      <c r="I12" s="87"/>
      <c r="J12" s="87"/>
      <c r="K12" s="87"/>
      <c r="L12" s="597"/>
      <c r="M12" s="199"/>
      <c r="N12" s="331"/>
      <c r="O12" s="211"/>
    </row>
    <row r="13" spans="1:15" s="50" customFormat="1" ht="48.75" customHeight="1">
      <c r="A13" s="39" t="s">
        <v>332</v>
      </c>
      <c r="B13" s="39" t="s">
        <v>333</v>
      </c>
      <c r="C13" s="39" t="s">
        <v>213</v>
      </c>
      <c r="D13" s="115" t="s">
        <v>36</v>
      </c>
      <c r="E13" s="115" t="s">
        <v>73</v>
      </c>
      <c r="F13" s="115" t="s">
        <v>74</v>
      </c>
      <c r="G13" s="115" t="s">
        <v>37</v>
      </c>
      <c r="H13" s="115" t="s">
        <v>38</v>
      </c>
      <c r="I13" s="115" t="s">
        <v>15</v>
      </c>
      <c r="J13" s="115" t="s">
        <v>214</v>
      </c>
      <c r="K13" s="115" t="s">
        <v>39</v>
      </c>
      <c r="L13" s="115" t="s">
        <v>84</v>
      </c>
      <c r="M13" s="360" t="s">
        <v>479</v>
      </c>
      <c r="N13" s="607" t="s">
        <v>40</v>
      </c>
      <c r="O13" s="595" t="s">
        <v>58</v>
      </c>
    </row>
    <row r="14" spans="1:15" s="111" customFormat="1" ht="15" customHeight="1">
      <c r="A14" s="794"/>
      <c r="B14" s="794"/>
      <c r="C14" s="790"/>
      <c r="D14" s="7">
        <v>1</v>
      </c>
      <c r="E14" s="22">
        <v>1</v>
      </c>
      <c r="F14" s="22"/>
      <c r="G14" s="22">
        <v>1</v>
      </c>
      <c r="H14" s="22"/>
      <c r="I14" s="22" t="s">
        <v>212</v>
      </c>
      <c r="J14" s="22" t="s">
        <v>212</v>
      </c>
      <c r="K14" s="22">
        <v>2003</v>
      </c>
      <c r="L14" s="1" t="s">
        <v>53</v>
      </c>
      <c r="M14" s="198">
        <v>85</v>
      </c>
      <c r="N14" s="195">
        <v>20.384</v>
      </c>
      <c r="O14" s="368">
        <f>M14*N14</f>
        <v>1732.64</v>
      </c>
    </row>
    <row r="15" spans="1:15" s="278" customFormat="1" ht="15" customHeight="1">
      <c r="A15" s="794"/>
      <c r="B15" s="794"/>
      <c r="C15" s="790"/>
      <c r="D15" s="1">
        <v>1</v>
      </c>
      <c r="E15" s="22">
        <v>1</v>
      </c>
      <c r="F15" s="1"/>
      <c r="G15" s="1">
        <v>1</v>
      </c>
      <c r="H15" s="1"/>
      <c r="I15" s="22" t="s">
        <v>212</v>
      </c>
      <c r="J15" s="22" t="s">
        <v>212</v>
      </c>
      <c r="K15" s="22">
        <v>2002</v>
      </c>
      <c r="L15" s="1" t="s">
        <v>53</v>
      </c>
      <c r="M15" s="198">
        <f>46+23</f>
        <v>69</v>
      </c>
      <c r="N15" s="195">
        <v>20.384</v>
      </c>
      <c r="O15" s="368">
        <f aca="true" t="shared" si="1" ref="O15:O31">M15*N15</f>
        <v>1406.496</v>
      </c>
    </row>
    <row r="16" spans="1:15" s="278" customFormat="1" ht="15" customHeight="1">
      <c r="A16" s="794"/>
      <c r="B16" s="794"/>
      <c r="C16" s="790"/>
      <c r="D16" s="1">
        <v>1</v>
      </c>
      <c r="E16" s="22">
        <v>1</v>
      </c>
      <c r="F16" s="22"/>
      <c r="G16" s="1">
        <v>1</v>
      </c>
      <c r="H16" s="22"/>
      <c r="I16" s="22" t="s">
        <v>212</v>
      </c>
      <c r="J16" s="22" t="s">
        <v>212</v>
      </c>
      <c r="K16" s="22">
        <v>1999</v>
      </c>
      <c r="L16" s="1" t="s">
        <v>53</v>
      </c>
      <c r="M16" s="198">
        <v>24.5</v>
      </c>
      <c r="N16" s="195">
        <v>20.384</v>
      </c>
      <c r="O16" s="368">
        <f t="shared" si="1"/>
        <v>499.408</v>
      </c>
    </row>
    <row r="17" spans="1:16" ht="15" customHeight="1">
      <c r="A17" s="794"/>
      <c r="B17" s="794"/>
      <c r="C17" s="790"/>
      <c r="D17" s="1">
        <v>1</v>
      </c>
      <c r="E17" s="22">
        <v>1</v>
      </c>
      <c r="F17" s="22"/>
      <c r="G17" s="1">
        <v>1</v>
      </c>
      <c r="H17" s="22"/>
      <c r="I17" s="22" t="s">
        <v>212</v>
      </c>
      <c r="J17" s="22" t="s">
        <v>212</v>
      </c>
      <c r="K17" s="22">
        <v>2004</v>
      </c>
      <c r="L17" s="1" t="s">
        <v>53</v>
      </c>
      <c r="M17" s="198">
        <f>107.5+32</f>
        <v>139.5</v>
      </c>
      <c r="N17" s="195">
        <v>20.384</v>
      </c>
      <c r="O17" s="368">
        <f t="shared" si="1"/>
        <v>2843.568</v>
      </c>
      <c r="P17" s="10"/>
    </row>
    <row r="18" spans="1:15" ht="15" customHeight="1">
      <c r="A18" s="791"/>
      <c r="B18" s="791"/>
      <c r="C18" s="790"/>
      <c r="D18" s="1">
        <v>1</v>
      </c>
      <c r="E18" s="22">
        <v>1</v>
      </c>
      <c r="F18" s="22"/>
      <c r="G18" s="22"/>
      <c r="H18" s="22">
        <v>1</v>
      </c>
      <c r="I18" s="22" t="s">
        <v>212</v>
      </c>
      <c r="J18" s="22" t="s">
        <v>18</v>
      </c>
      <c r="K18" s="22">
        <v>2008</v>
      </c>
      <c r="L18" s="1" t="s">
        <v>366</v>
      </c>
      <c r="M18" s="198">
        <v>35.5</v>
      </c>
      <c r="N18" s="195">
        <v>20.384</v>
      </c>
      <c r="O18" s="368">
        <f t="shared" si="1"/>
        <v>723.6320000000001</v>
      </c>
    </row>
    <row r="19" spans="1:15" s="278" customFormat="1" ht="15" customHeight="1">
      <c r="A19" s="791"/>
      <c r="B19" s="791"/>
      <c r="C19" s="790"/>
      <c r="D19" s="1">
        <v>1</v>
      </c>
      <c r="E19" s="22"/>
      <c r="F19" s="22">
        <v>1</v>
      </c>
      <c r="G19" s="22">
        <v>1</v>
      </c>
      <c r="H19" s="22"/>
      <c r="I19" s="22" t="s">
        <v>212</v>
      </c>
      <c r="J19" s="15" t="s">
        <v>502</v>
      </c>
      <c r="K19" s="22">
        <v>2006</v>
      </c>
      <c r="L19" s="1" t="s">
        <v>366</v>
      </c>
      <c r="M19" s="200">
        <f>60.75+70+35</f>
        <v>165.75</v>
      </c>
      <c r="N19" s="195">
        <v>20.384</v>
      </c>
      <c r="O19" s="368">
        <f t="shared" si="1"/>
        <v>3378.648</v>
      </c>
    </row>
    <row r="20" spans="1:15" s="278" customFormat="1" ht="15" customHeight="1">
      <c r="A20" s="794"/>
      <c r="B20" s="794"/>
      <c r="C20" s="790"/>
      <c r="D20" s="1">
        <v>1</v>
      </c>
      <c r="E20" s="22">
        <v>1</v>
      </c>
      <c r="F20" s="22"/>
      <c r="G20" s="22">
        <v>1</v>
      </c>
      <c r="H20" s="22"/>
      <c r="I20" s="22" t="s">
        <v>212</v>
      </c>
      <c r="J20" s="15" t="s">
        <v>212</v>
      </c>
      <c r="K20" s="22">
        <v>1999</v>
      </c>
      <c r="L20" s="1" t="s">
        <v>53</v>
      </c>
      <c r="M20" s="200">
        <v>132.5</v>
      </c>
      <c r="N20" s="195">
        <v>20.384</v>
      </c>
      <c r="O20" s="368">
        <f t="shared" si="1"/>
        <v>2700.88</v>
      </c>
    </row>
    <row r="21" spans="1:15" s="278" customFormat="1" ht="15" customHeight="1">
      <c r="A21" s="794"/>
      <c r="B21" s="794"/>
      <c r="C21" s="790"/>
      <c r="D21" s="1">
        <v>1</v>
      </c>
      <c r="E21" s="22">
        <v>1</v>
      </c>
      <c r="F21" s="22"/>
      <c r="G21" s="22">
        <v>1</v>
      </c>
      <c r="H21" s="22"/>
      <c r="I21" s="22" t="s">
        <v>212</v>
      </c>
      <c r="J21" s="15" t="s">
        <v>212</v>
      </c>
      <c r="K21" s="22">
        <v>2006</v>
      </c>
      <c r="L21" s="1" t="s">
        <v>143</v>
      </c>
      <c r="M21" s="200">
        <v>0</v>
      </c>
      <c r="N21" s="195" t="s">
        <v>144</v>
      </c>
      <c r="O21" s="368">
        <v>210</v>
      </c>
    </row>
    <row r="22" spans="1:15" s="278" customFormat="1" ht="15" customHeight="1">
      <c r="A22" s="794"/>
      <c r="B22" s="794"/>
      <c r="C22" s="792"/>
      <c r="D22" s="1">
        <v>1</v>
      </c>
      <c r="E22" s="22">
        <v>1</v>
      </c>
      <c r="F22" s="22"/>
      <c r="G22" s="22">
        <v>1</v>
      </c>
      <c r="H22" s="22"/>
      <c r="I22" s="22" t="s">
        <v>212</v>
      </c>
      <c r="J22" s="15" t="s">
        <v>212</v>
      </c>
      <c r="K22" s="22">
        <v>2000</v>
      </c>
      <c r="L22" s="1" t="s">
        <v>366</v>
      </c>
      <c r="M22" s="200">
        <f>57+9</f>
        <v>66</v>
      </c>
      <c r="N22" s="195">
        <v>20.384</v>
      </c>
      <c r="O22" s="368">
        <f t="shared" si="1"/>
        <v>1345.344</v>
      </c>
    </row>
    <row r="23" spans="1:15" s="278" customFormat="1" ht="15" customHeight="1">
      <c r="A23" s="794"/>
      <c r="B23" s="794"/>
      <c r="C23" s="790"/>
      <c r="D23" s="1">
        <v>1</v>
      </c>
      <c r="E23" s="22"/>
      <c r="F23" s="22">
        <v>1</v>
      </c>
      <c r="G23" s="22">
        <v>1</v>
      </c>
      <c r="H23" s="22"/>
      <c r="I23" s="22" t="s">
        <v>212</v>
      </c>
      <c r="J23" s="22" t="s">
        <v>212</v>
      </c>
      <c r="K23" s="22">
        <v>2006</v>
      </c>
      <c r="L23" s="1" t="s">
        <v>53</v>
      </c>
      <c r="M23" s="200">
        <f>88+12</f>
        <v>100</v>
      </c>
      <c r="N23" s="195">
        <v>20.384</v>
      </c>
      <c r="O23" s="368">
        <f t="shared" si="1"/>
        <v>2038.4</v>
      </c>
    </row>
    <row r="24" spans="1:15" s="278" customFormat="1" ht="15" customHeight="1">
      <c r="A24" s="794"/>
      <c r="B24" s="794"/>
      <c r="C24" s="790"/>
      <c r="D24" s="1">
        <v>1</v>
      </c>
      <c r="E24" s="22">
        <v>1</v>
      </c>
      <c r="F24" s="22"/>
      <c r="G24" s="22">
        <v>1</v>
      </c>
      <c r="H24" s="22"/>
      <c r="I24" s="22" t="s">
        <v>212</v>
      </c>
      <c r="J24" s="22" t="s">
        <v>212</v>
      </c>
      <c r="K24" s="22">
        <v>2002</v>
      </c>
      <c r="L24" s="1" t="s">
        <v>53</v>
      </c>
      <c r="M24" s="200">
        <v>80</v>
      </c>
      <c r="N24" s="195">
        <v>20.384</v>
      </c>
      <c r="O24" s="368">
        <f t="shared" si="1"/>
        <v>1630.72</v>
      </c>
    </row>
    <row r="25" spans="1:15" ht="15" customHeight="1">
      <c r="A25" s="794"/>
      <c r="B25" s="794"/>
      <c r="C25" s="790"/>
      <c r="D25" s="1">
        <v>1</v>
      </c>
      <c r="E25" s="22">
        <v>1</v>
      </c>
      <c r="F25" s="22"/>
      <c r="G25" s="22">
        <v>1</v>
      </c>
      <c r="H25" s="22"/>
      <c r="I25" s="22" t="s">
        <v>212</v>
      </c>
      <c r="J25" s="15" t="s">
        <v>212</v>
      </c>
      <c r="K25" s="22">
        <v>2006</v>
      </c>
      <c r="L25" s="1" t="s">
        <v>366</v>
      </c>
      <c r="M25" s="200">
        <v>20</v>
      </c>
      <c r="N25" s="195">
        <v>20.384</v>
      </c>
      <c r="O25" s="368">
        <f t="shared" si="1"/>
        <v>407.68</v>
      </c>
    </row>
    <row r="26" spans="1:15" ht="15" customHeight="1">
      <c r="A26" s="794"/>
      <c r="B26" s="794"/>
      <c r="C26" s="790"/>
      <c r="D26" s="1">
        <v>1</v>
      </c>
      <c r="E26" s="22">
        <v>1</v>
      </c>
      <c r="F26" s="22"/>
      <c r="G26" s="22">
        <v>1</v>
      </c>
      <c r="H26" s="22"/>
      <c r="I26" s="22" t="s">
        <v>212</v>
      </c>
      <c r="J26" s="15" t="s">
        <v>212</v>
      </c>
      <c r="K26" s="22">
        <v>2001</v>
      </c>
      <c r="L26" s="1" t="s">
        <v>366</v>
      </c>
      <c r="M26" s="200">
        <f>180+20.25+40</f>
        <v>240.25</v>
      </c>
      <c r="N26" s="195">
        <v>20.384</v>
      </c>
      <c r="O26" s="368">
        <f t="shared" si="1"/>
        <v>4897.256</v>
      </c>
    </row>
    <row r="27" spans="1:15" ht="15" customHeight="1">
      <c r="A27" s="794"/>
      <c r="B27" s="794"/>
      <c r="C27" s="790"/>
      <c r="D27" s="1">
        <v>1</v>
      </c>
      <c r="E27" s="22">
        <v>1</v>
      </c>
      <c r="F27" s="22"/>
      <c r="G27" s="22"/>
      <c r="H27" s="22">
        <v>1</v>
      </c>
      <c r="I27" s="22" t="s">
        <v>212</v>
      </c>
      <c r="J27" s="15" t="s">
        <v>20</v>
      </c>
      <c r="K27" s="22">
        <v>2004</v>
      </c>
      <c r="L27" s="1" t="s">
        <v>366</v>
      </c>
      <c r="M27" s="200">
        <v>249.75</v>
      </c>
      <c r="N27" s="195">
        <v>20.384</v>
      </c>
      <c r="O27" s="368">
        <f t="shared" si="1"/>
        <v>5090.904</v>
      </c>
    </row>
    <row r="28" spans="1:15" s="278" customFormat="1" ht="15" customHeight="1">
      <c r="A28" s="794"/>
      <c r="B28" s="794"/>
      <c r="C28" s="790"/>
      <c r="D28" s="1">
        <v>1</v>
      </c>
      <c r="E28" s="22">
        <v>1</v>
      </c>
      <c r="F28" s="22"/>
      <c r="G28" s="22">
        <v>1</v>
      </c>
      <c r="H28" s="22"/>
      <c r="I28" s="22" t="s">
        <v>212</v>
      </c>
      <c r="J28" s="22" t="s">
        <v>212</v>
      </c>
      <c r="K28" s="22">
        <v>2003</v>
      </c>
      <c r="L28" s="1" t="s">
        <v>53</v>
      </c>
      <c r="M28" s="200">
        <f>136+104</f>
        <v>240</v>
      </c>
      <c r="N28" s="195">
        <v>20.384</v>
      </c>
      <c r="O28" s="368">
        <f t="shared" si="1"/>
        <v>4892.16</v>
      </c>
    </row>
    <row r="29" spans="1:15" s="278" customFormat="1" ht="15" customHeight="1">
      <c r="A29" s="794"/>
      <c r="B29" s="794"/>
      <c r="C29" s="790"/>
      <c r="D29" s="1">
        <v>1</v>
      </c>
      <c r="E29" s="22">
        <v>1</v>
      </c>
      <c r="F29" s="22"/>
      <c r="G29" s="22">
        <v>1</v>
      </c>
      <c r="H29" s="22"/>
      <c r="I29" s="22" t="s">
        <v>212</v>
      </c>
      <c r="J29" s="15" t="s">
        <v>212</v>
      </c>
      <c r="K29" s="22">
        <v>2002</v>
      </c>
      <c r="L29" s="1" t="s">
        <v>366</v>
      </c>
      <c r="M29" s="200">
        <f>241.5+68.5+42.25</f>
        <v>352.25</v>
      </c>
      <c r="N29" s="195">
        <v>20.384</v>
      </c>
      <c r="O29" s="368">
        <f t="shared" si="1"/>
        <v>7180.264</v>
      </c>
    </row>
    <row r="30" spans="1:15" s="280" customFormat="1" ht="28.5" customHeight="1">
      <c r="A30" s="794"/>
      <c r="B30" s="794"/>
      <c r="C30" s="790"/>
      <c r="D30" s="1">
        <v>1</v>
      </c>
      <c r="E30" s="22">
        <v>1</v>
      </c>
      <c r="F30" s="22"/>
      <c r="G30" s="22">
        <v>1</v>
      </c>
      <c r="H30" s="22"/>
      <c r="I30" s="15" t="s">
        <v>212</v>
      </c>
      <c r="J30" s="15" t="s">
        <v>212</v>
      </c>
      <c r="K30" s="22">
        <v>2004</v>
      </c>
      <c r="L30" s="482" t="s">
        <v>279</v>
      </c>
      <c r="M30" s="200"/>
      <c r="N30" s="195" t="s">
        <v>144</v>
      </c>
      <c r="O30" s="368">
        <v>2100</v>
      </c>
    </row>
    <row r="31" spans="1:15" s="12" customFormat="1" ht="15" customHeight="1">
      <c r="A31" s="794"/>
      <c r="B31" s="794"/>
      <c r="C31" s="790"/>
      <c r="D31" s="1">
        <v>1</v>
      </c>
      <c r="E31" s="22">
        <v>1</v>
      </c>
      <c r="F31" s="22"/>
      <c r="G31" s="22"/>
      <c r="H31" s="22">
        <v>1</v>
      </c>
      <c r="I31" s="22" t="s">
        <v>212</v>
      </c>
      <c r="J31" s="15" t="s">
        <v>450</v>
      </c>
      <c r="K31" s="22">
        <v>2001</v>
      </c>
      <c r="L31" s="1" t="s">
        <v>366</v>
      </c>
      <c r="M31" s="200">
        <f>78+55.25+73.5</f>
        <v>206.75</v>
      </c>
      <c r="N31" s="195">
        <v>20.384</v>
      </c>
      <c r="O31" s="368">
        <f t="shared" si="1"/>
        <v>4214.392</v>
      </c>
    </row>
    <row r="32" spans="1:15" s="12" customFormat="1" ht="15" customHeight="1">
      <c r="A32" s="1126" t="s">
        <v>453</v>
      </c>
      <c r="B32" s="1127"/>
      <c r="C32" s="15"/>
      <c r="D32" s="1"/>
      <c r="E32" s="22"/>
      <c r="F32" s="22"/>
      <c r="G32" s="22"/>
      <c r="H32" s="22"/>
      <c r="I32" s="22"/>
      <c r="J32" s="15"/>
      <c r="K32" s="22"/>
      <c r="L32" s="305" t="s">
        <v>366</v>
      </c>
      <c r="M32" s="200">
        <v>22</v>
      </c>
      <c r="N32" s="195">
        <v>22.88</v>
      </c>
      <c r="O32" s="195">
        <f>M32*N32+68.64</f>
        <v>572</v>
      </c>
    </row>
    <row r="33" spans="1:15" s="12" customFormat="1" ht="15" customHeight="1">
      <c r="A33" s="1126" t="s">
        <v>278</v>
      </c>
      <c r="B33" s="1127"/>
      <c r="C33" s="15"/>
      <c r="D33" s="1"/>
      <c r="E33" s="22"/>
      <c r="F33" s="22"/>
      <c r="G33" s="22"/>
      <c r="H33" s="22"/>
      <c r="I33" s="22"/>
      <c r="J33" s="15"/>
      <c r="K33" s="22"/>
      <c r="L33" s="305" t="s">
        <v>121</v>
      </c>
      <c r="M33" s="200"/>
      <c r="N33" s="195"/>
      <c r="O33" s="195">
        <f>180+30+72+180+42+180+270+18+60+150+150+120</f>
        <v>1452</v>
      </c>
    </row>
    <row r="34" spans="1:15" s="12" customFormat="1" ht="15" customHeight="1">
      <c r="A34" s="1111" t="s">
        <v>80</v>
      </c>
      <c r="B34" s="1112"/>
      <c r="C34" s="287"/>
      <c r="D34" s="1"/>
      <c r="E34" s="285"/>
      <c r="F34" s="285"/>
      <c r="G34" s="285"/>
      <c r="H34" s="285"/>
      <c r="I34" s="285"/>
      <c r="J34" s="287"/>
      <c r="K34" s="285"/>
      <c r="L34" s="1" t="s">
        <v>366</v>
      </c>
      <c r="M34" s="200"/>
      <c r="N34" s="195"/>
      <c r="O34" s="325">
        <v>448.45</v>
      </c>
    </row>
    <row r="35" spans="1:15" s="213" customFormat="1" ht="15" customHeight="1">
      <c r="A35" s="1030" t="s">
        <v>8</v>
      </c>
      <c r="B35" s="1030"/>
      <c r="C35" s="205"/>
      <c r="D35" s="205">
        <f>SUM(D14:D31)</f>
        <v>18</v>
      </c>
      <c r="E35" s="205">
        <f>SUM(E14:E31)</f>
        <v>16</v>
      </c>
      <c r="F35" s="205">
        <f>SUM(F14:F31)</f>
        <v>2</v>
      </c>
      <c r="G35" s="205">
        <f>SUM(G14:G31)</f>
        <v>15</v>
      </c>
      <c r="H35" s="205">
        <f>SUM(H14:H31)</f>
        <v>3</v>
      </c>
      <c r="I35" s="205"/>
      <c r="J35" s="205"/>
      <c r="K35" s="205"/>
      <c r="L35" s="596"/>
      <c r="M35" s="203">
        <f>SUM(M14:M31)</f>
        <v>2206.75</v>
      </c>
      <c r="N35" s="330"/>
      <c r="O35" s="204">
        <f>SUM(O14:O34)</f>
        <v>49764.842000000004</v>
      </c>
    </row>
    <row r="36" spans="1:15" s="4" customFormat="1" ht="15" customHeight="1">
      <c r="A36" s="1027" t="s">
        <v>67</v>
      </c>
      <c r="B36" s="1027"/>
      <c r="C36" s="87"/>
      <c r="D36" s="87"/>
      <c r="E36" s="300"/>
      <c r="F36" s="87"/>
      <c r="G36" s="87"/>
      <c r="H36" s="87"/>
      <c r="I36" s="87"/>
      <c r="J36" s="87"/>
      <c r="K36" s="87"/>
      <c r="L36" s="103"/>
      <c r="M36" s="199"/>
      <c r="N36" s="331"/>
      <c r="O36" s="211"/>
    </row>
    <row r="37" spans="1:15" s="50" customFormat="1" ht="48.75" customHeight="1">
      <c r="A37" s="39" t="s">
        <v>332</v>
      </c>
      <c r="B37" s="39" t="s">
        <v>333</v>
      </c>
      <c r="C37" s="39" t="s">
        <v>213</v>
      </c>
      <c r="D37" s="115" t="s">
        <v>36</v>
      </c>
      <c r="E37" s="115" t="s">
        <v>73</v>
      </c>
      <c r="F37" s="115" t="s">
        <v>74</v>
      </c>
      <c r="G37" s="115" t="s">
        <v>37</v>
      </c>
      <c r="H37" s="115" t="s">
        <v>38</v>
      </c>
      <c r="I37" s="115" t="s">
        <v>15</v>
      </c>
      <c r="J37" s="115" t="s">
        <v>214</v>
      </c>
      <c r="K37" s="115" t="s">
        <v>39</v>
      </c>
      <c r="L37" s="115" t="s">
        <v>84</v>
      </c>
      <c r="M37" s="360" t="s">
        <v>479</v>
      </c>
      <c r="N37" s="607" t="s">
        <v>40</v>
      </c>
      <c r="O37" s="595" t="s">
        <v>58</v>
      </c>
    </row>
    <row r="38" spans="1:15" s="278" customFormat="1" ht="15" customHeight="1">
      <c r="A38" s="794"/>
      <c r="B38" s="794"/>
      <c r="C38" s="841"/>
      <c r="D38" s="1">
        <v>1</v>
      </c>
      <c r="E38" s="22">
        <v>1</v>
      </c>
      <c r="F38" s="22"/>
      <c r="G38" s="1">
        <v>1</v>
      </c>
      <c r="H38" s="1"/>
      <c r="I38" s="22" t="s">
        <v>212</v>
      </c>
      <c r="J38" s="1" t="s">
        <v>212</v>
      </c>
      <c r="K38" s="22">
        <v>2004</v>
      </c>
      <c r="L38" s="1" t="s">
        <v>366</v>
      </c>
      <c r="M38" s="200">
        <v>199.75</v>
      </c>
      <c r="N38" s="329">
        <v>20.384</v>
      </c>
      <c r="O38" s="368">
        <f>M38*N38</f>
        <v>4071.704</v>
      </c>
    </row>
    <row r="39" spans="1:15" s="213" customFormat="1" ht="15" customHeight="1">
      <c r="A39" s="1030" t="s">
        <v>95</v>
      </c>
      <c r="B39" s="1030"/>
      <c r="C39" s="205"/>
      <c r="D39" s="205">
        <f>SUM(D38:D38)</f>
        <v>1</v>
      </c>
      <c r="E39" s="205">
        <f>SUM(E38:E38)</f>
        <v>1</v>
      </c>
      <c r="F39" s="205">
        <f>SUM(F38:F38)</f>
        <v>0</v>
      </c>
      <c r="G39" s="205">
        <f>SUM(G38:G38)</f>
        <v>1</v>
      </c>
      <c r="H39" s="205">
        <f>SUM(H38:H38)</f>
        <v>0</v>
      </c>
      <c r="I39" s="205"/>
      <c r="J39" s="205"/>
      <c r="K39" s="205"/>
      <c r="L39" s="500"/>
      <c r="M39" s="203">
        <f>SUM(M38:M38)</f>
        <v>199.75</v>
      </c>
      <c r="N39" s="330"/>
      <c r="O39" s="204">
        <f>SUM(O38:O38)</f>
        <v>4071.704</v>
      </c>
    </row>
    <row r="40" spans="1:15" s="4" customFormat="1" ht="15" customHeight="1">
      <c r="A40" s="1027" t="s">
        <v>68</v>
      </c>
      <c r="B40" s="1027"/>
      <c r="C40" s="87"/>
      <c r="D40" s="87"/>
      <c r="E40" s="300"/>
      <c r="F40" s="87"/>
      <c r="G40" s="87"/>
      <c r="H40" s="87"/>
      <c r="I40" s="87"/>
      <c r="J40" s="87"/>
      <c r="K40" s="87"/>
      <c r="L40" s="103"/>
      <c r="M40" s="199"/>
      <c r="N40" s="331"/>
      <c r="O40" s="211"/>
    </row>
    <row r="41" spans="1:15" s="50" customFormat="1" ht="48.75" customHeight="1">
      <c r="A41" s="39" t="s">
        <v>332</v>
      </c>
      <c r="B41" s="39" t="s">
        <v>333</v>
      </c>
      <c r="C41" s="39" t="s">
        <v>213</v>
      </c>
      <c r="D41" s="115" t="s">
        <v>36</v>
      </c>
      <c r="E41" s="115" t="s">
        <v>73</v>
      </c>
      <c r="F41" s="115" t="s">
        <v>74</v>
      </c>
      <c r="G41" s="115" t="s">
        <v>37</v>
      </c>
      <c r="H41" s="115" t="s">
        <v>38</v>
      </c>
      <c r="I41" s="115" t="s">
        <v>15</v>
      </c>
      <c r="J41" s="115" t="s">
        <v>214</v>
      </c>
      <c r="K41" s="115" t="s">
        <v>39</v>
      </c>
      <c r="L41" s="115" t="s">
        <v>84</v>
      </c>
      <c r="M41" s="360" t="s">
        <v>479</v>
      </c>
      <c r="N41" s="607" t="s">
        <v>40</v>
      </c>
      <c r="O41" s="595" t="s">
        <v>58</v>
      </c>
    </row>
    <row r="42" spans="1:16" s="437" customFormat="1" ht="15" customHeight="1">
      <c r="A42" s="789"/>
      <c r="B42" s="789"/>
      <c r="C42" s="834"/>
      <c r="D42" s="357">
        <v>1</v>
      </c>
      <c r="E42" s="434">
        <v>1</v>
      </c>
      <c r="F42" s="357"/>
      <c r="G42" s="357"/>
      <c r="H42" s="434">
        <v>1</v>
      </c>
      <c r="I42" s="434" t="s">
        <v>212</v>
      </c>
      <c r="J42" s="439" t="s">
        <v>326</v>
      </c>
      <c r="K42" s="434">
        <v>2003</v>
      </c>
      <c r="L42" s="1" t="s">
        <v>53</v>
      </c>
      <c r="M42" s="200">
        <v>33.75</v>
      </c>
      <c r="N42" s="328">
        <v>20.384</v>
      </c>
      <c r="O42" s="368">
        <f>M42*N42</f>
        <v>687.96</v>
      </c>
      <c r="P42" s="436"/>
    </row>
    <row r="43" spans="1:16" s="437" customFormat="1" ht="15" customHeight="1">
      <c r="A43" s="789"/>
      <c r="B43" s="789"/>
      <c r="C43" s="834"/>
      <c r="D43" s="357">
        <v>1</v>
      </c>
      <c r="E43" s="434">
        <v>1</v>
      </c>
      <c r="F43" s="357"/>
      <c r="G43" s="434">
        <v>1</v>
      </c>
      <c r="H43" s="357"/>
      <c r="I43" s="439" t="s">
        <v>212</v>
      </c>
      <c r="J43" s="439" t="s">
        <v>212</v>
      </c>
      <c r="K43" s="434">
        <v>2004</v>
      </c>
      <c r="L43" s="1" t="s">
        <v>366</v>
      </c>
      <c r="M43" s="200">
        <v>90</v>
      </c>
      <c r="N43" s="328">
        <v>20.384</v>
      </c>
      <c r="O43" s="368">
        <f>M43*N43</f>
        <v>1834.56</v>
      </c>
      <c r="P43" s="436"/>
    </row>
    <row r="44" spans="1:15" s="213" customFormat="1" ht="15" customHeight="1">
      <c r="A44" s="1030" t="s">
        <v>478</v>
      </c>
      <c r="B44" s="1030"/>
      <c r="C44" s="202"/>
      <c r="D44" s="202">
        <f>SUM(D42:D43)</f>
        <v>2</v>
      </c>
      <c r="E44" s="202">
        <f>SUM(E42:E43)</f>
        <v>2</v>
      </c>
      <c r="F44" s="202">
        <f>SUM(F42:F43)</f>
        <v>0</v>
      </c>
      <c r="G44" s="202">
        <f>SUM(G42:G43)</f>
        <v>1</v>
      </c>
      <c r="H44" s="202">
        <f>SUM(H42:H43)</f>
        <v>1</v>
      </c>
      <c r="I44" s="312"/>
      <c r="J44" s="207"/>
      <c r="K44" s="207"/>
      <c r="L44" s="203"/>
      <c r="M44" s="203">
        <f>SUM(M42:M43)</f>
        <v>123.75</v>
      </c>
      <c r="N44" s="207"/>
      <c r="O44" s="339">
        <f>SUM(O42:O43)</f>
        <v>2522.52</v>
      </c>
    </row>
    <row r="45" spans="1:15" s="4" customFormat="1" ht="15" customHeight="1">
      <c r="A45" s="1027" t="s">
        <v>65</v>
      </c>
      <c r="B45" s="1027"/>
      <c r="C45" s="87"/>
      <c r="D45" s="87"/>
      <c r="E45" s="300"/>
      <c r="F45" s="87"/>
      <c r="G45" s="87"/>
      <c r="H45" s="87"/>
      <c r="I45" s="87"/>
      <c r="J45" s="87"/>
      <c r="K45" s="87"/>
      <c r="L45" s="103"/>
      <c r="M45" s="199"/>
      <c r="N45" s="331"/>
      <c r="O45" s="211"/>
    </row>
    <row r="46" spans="1:15" s="50" customFormat="1" ht="48.75" customHeight="1">
      <c r="A46" s="39" t="s">
        <v>332</v>
      </c>
      <c r="B46" s="39" t="s">
        <v>333</v>
      </c>
      <c r="C46" s="39" t="s">
        <v>213</v>
      </c>
      <c r="D46" s="115" t="s">
        <v>36</v>
      </c>
      <c r="E46" s="115" t="s">
        <v>73</v>
      </c>
      <c r="F46" s="115" t="s">
        <v>74</v>
      </c>
      <c r="G46" s="115" t="s">
        <v>37</v>
      </c>
      <c r="H46" s="115" t="s">
        <v>38</v>
      </c>
      <c r="I46" s="115" t="s">
        <v>15</v>
      </c>
      <c r="J46" s="115" t="s">
        <v>214</v>
      </c>
      <c r="K46" s="115" t="s">
        <v>39</v>
      </c>
      <c r="L46" s="115" t="s">
        <v>84</v>
      </c>
      <c r="M46" s="360" t="s">
        <v>479</v>
      </c>
      <c r="N46" s="607" t="s">
        <v>40</v>
      </c>
      <c r="O46" s="595" t="s">
        <v>58</v>
      </c>
    </row>
    <row r="47" spans="1:15" s="280" customFormat="1" ht="15" customHeight="1">
      <c r="A47" s="842"/>
      <c r="B47" s="843"/>
      <c r="C47" s="835"/>
      <c r="D47" s="1">
        <v>1</v>
      </c>
      <c r="E47" s="409">
        <v>1</v>
      </c>
      <c r="F47" s="326"/>
      <c r="G47" s="409">
        <v>1</v>
      </c>
      <c r="H47" s="326"/>
      <c r="I47" s="409" t="s">
        <v>212</v>
      </c>
      <c r="J47" s="415" t="s">
        <v>212</v>
      </c>
      <c r="K47" s="409">
        <v>1996</v>
      </c>
      <c r="L47" s="1" t="s">
        <v>366</v>
      </c>
      <c r="M47" s="198">
        <f>7.75+7.5</f>
        <v>15.25</v>
      </c>
      <c r="N47" s="329">
        <v>20.384</v>
      </c>
      <c r="O47" s="368">
        <f>M47*N47</f>
        <v>310.856</v>
      </c>
    </row>
    <row r="48" spans="1:15" s="280" customFormat="1" ht="15" customHeight="1">
      <c r="A48" s="793"/>
      <c r="B48" s="793"/>
      <c r="C48" s="801"/>
      <c r="D48" s="1">
        <v>1</v>
      </c>
      <c r="E48" s="409">
        <v>1</v>
      </c>
      <c r="F48" s="305"/>
      <c r="G48" s="409">
        <v>1</v>
      </c>
      <c r="H48" s="326"/>
      <c r="I48" s="409" t="s">
        <v>212</v>
      </c>
      <c r="J48" s="409" t="s">
        <v>212</v>
      </c>
      <c r="K48" s="409">
        <v>2005</v>
      </c>
      <c r="L48" s="1" t="s">
        <v>366</v>
      </c>
      <c r="M48" s="200">
        <f>104.5+5</f>
        <v>109.5</v>
      </c>
      <c r="N48" s="329">
        <v>20.384</v>
      </c>
      <c r="O48" s="368">
        <f>M48*N48</f>
        <v>2232.0480000000002</v>
      </c>
    </row>
    <row r="49" spans="1:15" s="280" customFormat="1" ht="15" customHeight="1">
      <c r="A49" s="793"/>
      <c r="B49" s="793"/>
      <c r="C49" s="801"/>
      <c r="D49" s="1">
        <v>1</v>
      </c>
      <c r="E49" s="22">
        <v>1</v>
      </c>
      <c r="F49" s="305"/>
      <c r="G49" s="409">
        <v>1</v>
      </c>
      <c r="H49" s="305"/>
      <c r="I49" s="418" t="s">
        <v>212</v>
      </c>
      <c r="J49" s="415" t="s">
        <v>212</v>
      </c>
      <c r="K49" s="418">
        <v>2002</v>
      </c>
      <c r="L49" s="1" t="s">
        <v>366</v>
      </c>
      <c r="M49" s="200">
        <v>72</v>
      </c>
      <c r="N49" s="329">
        <v>20.384</v>
      </c>
      <c r="O49" s="368">
        <f>M49*N49</f>
        <v>1467.6480000000001</v>
      </c>
    </row>
    <row r="50" spans="1:15" s="280" customFormat="1" ht="15" customHeight="1">
      <c r="A50" s="793"/>
      <c r="B50" s="793"/>
      <c r="C50" s="801"/>
      <c r="D50" s="1">
        <v>1</v>
      </c>
      <c r="E50" s="22">
        <v>1</v>
      </c>
      <c r="F50" s="305"/>
      <c r="G50" s="409">
        <v>1</v>
      </c>
      <c r="H50" s="305"/>
      <c r="I50" s="418" t="s">
        <v>212</v>
      </c>
      <c r="J50" s="415" t="s">
        <v>212</v>
      </c>
      <c r="K50" s="418">
        <v>2001</v>
      </c>
      <c r="L50" s="1" t="s">
        <v>366</v>
      </c>
      <c r="M50" s="200">
        <v>76</v>
      </c>
      <c r="N50" s="329">
        <v>20.384</v>
      </c>
      <c r="O50" s="368">
        <f>M50*N50</f>
        <v>1549.184</v>
      </c>
    </row>
    <row r="51" spans="1:15" s="12" customFormat="1" ht="15" customHeight="1">
      <c r="A51" s="1126" t="s">
        <v>278</v>
      </c>
      <c r="B51" s="1127"/>
      <c r="C51" s="15"/>
      <c r="D51" s="1"/>
      <c r="E51" s="22"/>
      <c r="F51" s="22"/>
      <c r="G51" s="22"/>
      <c r="H51" s="22"/>
      <c r="I51" s="22"/>
      <c r="J51" s="15"/>
      <c r="K51" s="22"/>
      <c r="L51" s="305" t="s">
        <v>121</v>
      </c>
      <c r="M51" s="200"/>
      <c r="N51" s="195"/>
      <c r="O51" s="195">
        <v>12</v>
      </c>
    </row>
    <row r="52" spans="1:15" s="213" customFormat="1" ht="15" customHeight="1">
      <c r="A52" s="1030" t="s">
        <v>340</v>
      </c>
      <c r="B52" s="1030"/>
      <c r="C52" s="202"/>
      <c r="D52" s="202">
        <f>SUM(D47:D51)</f>
        <v>4</v>
      </c>
      <c r="E52" s="202">
        <f>SUM(E47:E51)</f>
        <v>4</v>
      </c>
      <c r="F52" s="202">
        <f>SUM(F48:F50)</f>
        <v>0</v>
      </c>
      <c r="G52" s="202">
        <f>SUM(G47:G51)</f>
        <v>4</v>
      </c>
      <c r="H52" s="202">
        <f>SUM(H48:H50)</f>
        <v>0</v>
      </c>
      <c r="I52" s="312"/>
      <c r="J52" s="207"/>
      <c r="K52" s="207"/>
      <c r="L52" s="203"/>
      <c r="M52" s="203">
        <f>SUM(M47:M50)</f>
        <v>272.75</v>
      </c>
      <c r="N52" s="207"/>
      <c r="O52" s="339">
        <f>SUM(O47:O51)</f>
        <v>5571.736000000001</v>
      </c>
    </row>
    <row r="53" spans="1:15" s="4" customFormat="1" ht="15" customHeight="1">
      <c r="A53" s="1027" t="s">
        <v>69</v>
      </c>
      <c r="B53" s="1027"/>
      <c r="C53" s="87"/>
      <c r="D53" s="365"/>
      <c r="E53" s="314"/>
      <c r="F53" s="314"/>
      <c r="G53" s="314"/>
      <c r="H53" s="314"/>
      <c r="I53" s="315"/>
      <c r="J53" s="314"/>
      <c r="K53" s="314"/>
      <c r="L53" s="199"/>
      <c r="M53" s="315"/>
      <c r="N53" s="332"/>
      <c r="O53" s="103"/>
    </row>
    <row r="54" spans="1:15" s="50" customFormat="1" ht="48.75" customHeight="1">
      <c r="A54" s="39" t="s">
        <v>332</v>
      </c>
      <c r="B54" s="39" t="s">
        <v>333</v>
      </c>
      <c r="C54" s="39" t="s">
        <v>213</v>
      </c>
      <c r="D54" s="115" t="s">
        <v>36</v>
      </c>
      <c r="E54" s="115" t="s">
        <v>73</v>
      </c>
      <c r="F54" s="115" t="s">
        <v>74</v>
      </c>
      <c r="G54" s="115" t="s">
        <v>37</v>
      </c>
      <c r="H54" s="115" t="s">
        <v>38</v>
      </c>
      <c r="I54" s="115" t="s">
        <v>15</v>
      </c>
      <c r="J54" s="115" t="s">
        <v>214</v>
      </c>
      <c r="K54" s="115" t="s">
        <v>39</v>
      </c>
      <c r="L54" s="115" t="s">
        <v>84</v>
      </c>
      <c r="M54" s="360" t="s">
        <v>479</v>
      </c>
      <c r="N54" s="607" t="s">
        <v>40</v>
      </c>
      <c r="O54" s="595" t="s">
        <v>58</v>
      </c>
    </row>
    <row r="55" spans="1:15" s="278" customFormat="1" ht="15" customHeight="1">
      <c r="A55" s="844"/>
      <c r="B55" s="845"/>
      <c r="C55" s="834"/>
      <c r="D55" s="357">
        <v>1</v>
      </c>
      <c r="E55" s="434"/>
      <c r="F55" s="434">
        <v>1</v>
      </c>
      <c r="G55" s="357">
        <v>1</v>
      </c>
      <c r="H55" s="440"/>
      <c r="I55" s="357" t="s">
        <v>212</v>
      </c>
      <c r="J55" s="440" t="s">
        <v>374</v>
      </c>
      <c r="K55" s="357">
        <v>2001</v>
      </c>
      <c r="L55" s="1" t="s">
        <v>366</v>
      </c>
      <c r="M55" s="200">
        <f>132.5+39.5</f>
        <v>172</v>
      </c>
      <c r="N55" s="329">
        <v>20.384</v>
      </c>
      <c r="O55" s="368">
        <f>M55*N55</f>
        <v>3506.0480000000002</v>
      </c>
    </row>
    <row r="56" spans="1:15" s="278" customFormat="1" ht="15" customHeight="1">
      <c r="A56" s="846"/>
      <c r="B56" s="846"/>
      <c r="C56" s="801"/>
      <c r="D56" s="1">
        <v>1</v>
      </c>
      <c r="E56" s="409">
        <v>1</v>
      </c>
      <c r="F56" s="409"/>
      <c r="G56" s="22">
        <v>1</v>
      </c>
      <c r="H56" s="305"/>
      <c r="I56" s="409" t="s">
        <v>212</v>
      </c>
      <c r="J56" s="415" t="s">
        <v>212</v>
      </c>
      <c r="K56" s="22">
        <v>1999</v>
      </c>
      <c r="L56" s="1" t="s">
        <v>366</v>
      </c>
      <c r="M56" s="200">
        <v>18</v>
      </c>
      <c r="N56" s="329">
        <v>20.384</v>
      </c>
      <c r="O56" s="368">
        <f>M56*N56</f>
        <v>366.91200000000003</v>
      </c>
    </row>
    <row r="57" spans="1:15" s="280" customFormat="1" ht="15" customHeight="1">
      <c r="A57" s="847"/>
      <c r="B57" s="847"/>
      <c r="C57" s="790"/>
      <c r="D57" s="1">
        <v>1</v>
      </c>
      <c r="E57" s="22">
        <v>1</v>
      </c>
      <c r="F57" s="305"/>
      <c r="G57" s="22">
        <v>1</v>
      </c>
      <c r="H57" s="305"/>
      <c r="I57" s="22" t="s">
        <v>212</v>
      </c>
      <c r="J57" s="222" t="s">
        <v>212</v>
      </c>
      <c r="K57" s="22">
        <v>2006</v>
      </c>
      <c r="L57" s="1" t="s">
        <v>366</v>
      </c>
      <c r="M57" s="200">
        <f>58+29</f>
        <v>87</v>
      </c>
      <c r="N57" s="329">
        <v>20.384</v>
      </c>
      <c r="O57" s="368">
        <f>M57*N57</f>
        <v>1773.4080000000001</v>
      </c>
    </row>
    <row r="58" spans="1:15" s="213" customFormat="1" ht="15" customHeight="1">
      <c r="A58" s="1030" t="s">
        <v>13</v>
      </c>
      <c r="B58" s="1030"/>
      <c r="C58" s="202"/>
      <c r="D58" s="205">
        <f>SUM(D55:D57)</f>
        <v>3</v>
      </c>
      <c r="E58" s="205">
        <f>SUM(E55:E57)</f>
        <v>2</v>
      </c>
      <c r="F58" s="205">
        <f>SUM(F55:F57)</f>
        <v>1</v>
      </c>
      <c r="G58" s="205">
        <f>SUM(G55:G57)</f>
        <v>3</v>
      </c>
      <c r="H58" s="205">
        <f>SUM(H55:H57)</f>
        <v>0</v>
      </c>
      <c r="I58" s="312"/>
      <c r="J58" s="207"/>
      <c r="K58" s="207"/>
      <c r="L58" s="203"/>
      <c r="M58" s="203">
        <f>SUM(M55:M57)</f>
        <v>277</v>
      </c>
      <c r="N58" s="207"/>
      <c r="O58" s="339">
        <f>SUM(O55:O57)</f>
        <v>5646.368</v>
      </c>
    </row>
    <row r="59" spans="1:15" s="4" customFormat="1" ht="15" customHeight="1">
      <c r="A59" s="1027" t="s">
        <v>70</v>
      </c>
      <c r="B59" s="1027"/>
      <c r="C59" s="87"/>
      <c r="D59" s="365"/>
      <c r="E59" s="314"/>
      <c r="F59" s="314"/>
      <c r="G59" s="314"/>
      <c r="H59" s="314"/>
      <c r="I59" s="315"/>
      <c r="J59" s="314"/>
      <c r="K59" s="314"/>
      <c r="L59" s="199"/>
      <c r="M59" s="315"/>
      <c r="N59" s="332"/>
      <c r="O59" s="103"/>
    </row>
    <row r="60" spans="1:15" s="50" customFormat="1" ht="48.75" customHeight="1">
      <c r="A60" s="39" t="s">
        <v>332</v>
      </c>
      <c r="B60" s="39" t="s">
        <v>333</v>
      </c>
      <c r="C60" s="39" t="s">
        <v>213</v>
      </c>
      <c r="D60" s="115" t="s">
        <v>36</v>
      </c>
      <c r="E60" s="115" t="s">
        <v>73</v>
      </c>
      <c r="F60" s="115" t="s">
        <v>74</v>
      </c>
      <c r="G60" s="115" t="s">
        <v>37</v>
      </c>
      <c r="H60" s="115" t="s">
        <v>38</v>
      </c>
      <c r="I60" s="115" t="s">
        <v>15</v>
      </c>
      <c r="J60" s="115" t="s">
        <v>214</v>
      </c>
      <c r="K60" s="115" t="s">
        <v>39</v>
      </c>
      <c r="L60" s="115" t="s">
        <v>84</v>
      </c>
      <c r="M60" s="360" t="s">
        <v>479</v>
      </c>
      <c r="N60" s="607" t="s">
        <v>40</v>
      </c>
      <c r="O60" s="595" t="s">
        <v>58</v>
      </c>
    </row>
    <row r="61" spans="1:15" s="111" customFormat="1" ht="15" customHeight="1">
      <c r="A61" s="794"/>
      <c r="B61" s="795"/>
      <c r="C61" s="792"/>
      <c r="D61" s="1">
        <v>1</v>
      </c>
      <c r="E61" s="21">
        <v>1</v>
      </c>
      <c r="F61" s="75"/>
      <c r="G61" s="75">
        <v>1</v>
      </c>
      <c r="H61" s="21"/>
      <c r="I61" s="22" t="s">
        <v>212</v>
      </c>
      <c r="J61" s="222" t="s">
        <v>110</v>
      </c>
      <c r="K61" s="75">
        <v>2006</v>
      </c>
      <c r="L61" s="1" t="s">
        <v>366</v>
      </c>
      <c r="M61" s="200">
        <f>195.5+27</f>
        <v>222.5</v>
      </c>
      <c r="N61" s="329">
        <v>20.384</v>
      </c>
      <c r="O61" s="368">
        <f>M61*N61</f>
        <v>4535.4400000000005</v>
      </c>
    </row>
    <row r="62" spans="1:15" s="111" customFormat="1" ht="15" customHeight="1">
      <c r="A62" s="794"/>
      <c r="B62" s="794"/>
      <c r="C62" s="792"/>
      <c r="D62" s="1">
        <v>1</v>
      </c>
      <c r="E62" s="22">
        <v>1</v>
      </c>
      <c r="F62" s="77"/>
      <c r="G62" s="77">
        <v>1</v>
      </c>
      <c r="H62" s="22"/>
      <c r="I62" s="22" t="s">
        <v>212</v>
      </c>
      <c r="J62" s="22" t="s">
        <v>212</v>
      </c>
      <c r="K62" s="78">
        <v>2007</v>
      </c>
      <c r="L62" s="1" t="s">
        <v>366</v>
      </c>
      <c r="M62" s="200">
        <f>34.5</f>
        <v>34.5</v>
      </c>
      <c r="N62" s="329">
        <v>20.384</v>
      </c>
      <c r="O62" s="368">
        <f>M62*N62</f>
        <v>703.248</v>
      </c>
    </row>
    <row r="63" spans="1:15" s="111" customFormat="1" ht="15" customHeight="1">
      <c r="A63" s="794"/>
      <c r="B63" s="794"/>
      <c r="C63" s="792"/>
      <c r="D63" s="1">
        <v>1</v>
      </c>
      <c r="E63" s="22"/>
      <c r="F63" s="77">
        <v>1</v>
      </c>
      <c r="G63" s="77">
        <v>1</v>
      </c>
      <c r="H63" s="22"/>
      <c r="I63" s="22" t="s">
        <v>212</v>
      </c>
      <c r="J63" s="22" t="s">
        <v>212</v>
      </c>
      <c r="K63" s="78">
        <v>2006</v>
      </c>
      <c r="L63" s="1" t="s">
        <v>366</v>
      </c>
      <c r="M63" s="200">
        <f>52+16</f>
        <v>68</v>
      </c>
      <c r="N63" s="329">
        <v>20.384</v>
      </c>
      <c r="O63" s="368">
        <f>M63*N63</f>
        <v>1386.112</v>
      </c>
    </row>
    <row r="64" spans="1:15" s="111" customFormat="1" ht="15" customHeight="1">
      <c r="A64" s="794"/>
      <c r="B64" s="795"/>
      <c r="C64" s="792"/>
      <c r="D64" s="1">
        <v>1</v>
      </c>
      <c r="E64" s="22">
        <v>1</v>
      </c>
      <c r="F64" s="77"/>
      <c r="G64" s="77">
        <v>1</v>
      </c>
      <c r="H64" s="22"/>
      <c r="I64" s="22" t="s">
        <v>212</v>
      </c>
      <c r="J64" s="222" t="s">
        <v>212</v>
      </c>
      <c r="K64" s="78">
        <v>1998</v>
      </c>
      <c r="L64" s="1" t="s">
        <v>366</v>
      </c>
      <c r="M64" s="200">
        <f>18+6</f>
        <v>24</v>
      </c>
      <c r="N64" s="329">
        <v>20.384</v>
      </c>
      <c r="O64" s="368">
        <f>M64*N64</f>
        <v>489.216</v>
      </c>
    </row>
    <row r="65" spans="1:15" s="12" customFormat="1" ht="15" customHeight="1">
      <c r="A65" s="1111" t="s">
        <v>80</v>
      </c>
      <c r="B65" s="1112"/>
      <c r="C65" s="287"/>
      <c r="D65" s="1"/>
      <c r="E65" s="285"/>
      <c r="F65" s="285"/>
      <c r="G65" s="285"/>
      <c r="H65" s="285"/>
      <c r="I65" s="285"/>
      <c r="J65" s="287"/>
      <c r="K65" s="285"/>
      <c r="L65" s="1" t="s">
        <v>366</v>
      </c>
      <c r="M65" s="200"/>
      <c r="N65" s="195"/>
      <c r="O65" s="325">
        <v>336.33</v>
      </c>
    </row>
    <row r="66" spans="1:15" s="213" customFormat="1" ht="15" customHeight="1">
      <c r="A66" s="1030" t="s">
        <v>341</v>
      </c>
      <c r="B66" s="1030"/>
      <c r="C66" s="202"/>
      <c r="D66" s="205">
        <f>SUM(D61:D65)</f>
        <v>4</v>
      </c>
      <c r="E66" s="205">
        <f>SUM(E61:E65)</f>
        <v>3</v>
      </c>
      <c r="F66" s="205">
        <f>SUM(F61:F65)</f>
        <v>1</v>
      </c>
      <c r="G66" s="205">
        <f>SUM(G61:G65)</f>
        <v>4</v>
      </c>
      <c r="H66" s="205">
        <f>SUM(H61:H65)</f>
        <v>0</v>
      </c>
      <c r="I66" s="312"/>
      <c r="J66" s="207"/>
      <c r="K66" s="207"/>
      <c r="L66" s="203"/>
      <c r="M66" s="203">
        <f>SUM(M61:M65)</f>
        <v>349</v>
      </c>
      <c r="N66" s="207"/>
      <c r="O66" s="204">
        <f>SUM(O61:O65)</f>
        <v>7450.3460000000005</v>
      </c>
    </row>
    <row r="67" spans="1:15" s="213" customFormat="1" ht="15" customHeight="1">
      <c r="A67" s="1027" t="s">
        <v>71</v>
      </c>
      <c r="B67" s="1027"/>
      <c r="C67" s="87"/>
      <c r="D67" s="365"/>
      <c r="E67" s="314"/>
      <c r="F67" s="314"/>
      <c r="G67" s="314"/>
      <c r="H67" s="314"/>
      <c r="I67" s="315"/>
      <c r="J67" s="314"/>
      <c r="K67" s="314"/>
      <c r="L67" s="199"/>
      <c r="M67" s="315"/>
      <c r="N67" s="332"/>
      <c r="O67" s="103"/>
    </row>
    <row r="68" spans="1:15" s="213" customFormat="1" ht="48.75" customHeight="1">
      <c r="A68" s="39" t="s">
        <v>332</v>
      </c>
      <c r="B68" s="39" t="s">
        <v>333</v>
      </c>
      <c r="C68" s="39" t="s">
        <v>213</v>
      </c>
      <c r="D68" s="115" t="s">
        <v>36</v>
      </c>
      <c r="E68" s="115" t="s">
        <v>73</v>
      </c>
      <c r="F68" s="115" t="s">
        <v>74</v>
      </c>
      <c r="G68" s="115" t="s">
        <v>37</v>
      </c>
      <c r="H68" s="115" t="s">
        <v>38</v>
      </c>
      <c r="I68" s="115" t="s">
        <v>15</v>
      </c>
      <c r="J68" s="115" t="s">
        <v>214</v>
      </c>
      <c r="K68" s="115" t="s">
        <v>39</v>
      </c>
      <c r="L68" s="115" t="s">
        <v>84</v>
      </c>
      <c r="M68" s="360" t="s">
        <v>479</v>
      </c>
      <c r="N68" s="607" t="s">
        <v>40</v>
      </c>
      <c r="O68" s="595" t="s">
        <v>58</v>
      </c>
    </row>
    <row r="69" spans="1:15" s="213" customFormat="1" ht="15" customHeight="1">
      <c r="A69" s="1030" t="s">
        <v>22</v>
      </c>
      <c r="B69" s="1030"/>
      <c r="C69" s="202"/>
      <c r="D69" s="205">
        <v>0</v>
      </c>
      <c r="E69" s="205">
        <v>0</v>
      </c>
      <c r="F69" s="205">
        <v>0</v>
      </c>
      <c r="G69" s="205">
        <v>0</v>
      </c>
      <c r="H69" s="205">
        <f>SUM(H63:H67)</f>
        <v>0</v>
      </c>
      <c r="I69" s="312"/>
      <c r="J69" s="207"/>
      <c r="K69" s="207"/>
      <c r="L69" s="203"/>
      <c r="M69" s="203">
        <v>0</v>
      </c>
      <c r="N69" s="207"/>
      <c r="O69" s="204">
        <v>0</v>
      </c>
    </row>
    <row r="70" spans="1:15" s="4" customFormat="1" ht="15" customHeight="1">
      <c r="A70" s="1027" t="s">
        <v>72</v>
      </c>
      <c r="B70" s="1027"/>
      <c r="C70" s="87"/>
      <c r="D70" s="365"/>
      <c r="E70" s="314"/>
      <c r="F70" s="314"/>
      <c r="G70" s="314"/>
      <c r="H70" s="314"/>
      <c r="I70" s="315"/>
      <c r="J70" s="314"/>
      <c r="K70" s="314"/>
      <c r="L70" s="199"/>
      <c r="M70" s="315"/>
      <c r="N70" s="332"/>
      <c r="O70" s="103"/>
    </row>
    <row r="71" spans="1:15" s="50" customFormat="1" ht="48.75" customHeight="1">
      <c r="A71" s="39" t="s">
        <v>332</v>
      </c>
      <c r="B71" s="39" t="s">
        <v>333</v>
      </c>
      <c r="C71" s="39" t="s">
        <v>213</v>
      </c>
      <c r="D71" s="115" t="s">
        <v>36</v>
      </c>
      <c r="E71" s="115" t="s">
        <v>73</v>
      </c>
      <c r="F71" s="115" t="s">
        <v>74</v>
      </c>
      <c r="G71" s="115" t="s">
        <v>37</v>
      </c>
      <c r="H71" s="115" t="s">
        <v>38</v>
      </c>
      <c r="I71" s="115" t="s">
        <v>15</v>
      </c>
      <c r="J71" s="115" t="s">
        <v>214</v>
      </c>
      <c r="K71" s="115" t="s">
        <v>39</v>
      </c>
      <c r="L71" s="115" t="s">
        <v>84</v>
      </c>
      <c r="M71" s="360" t="s">
        <v>479</v>
      </c>
      <c r="N71" s="607" t="s">
        <v>40</v>
      </c>
      <c r="O71" s="595" t="s">
        <v>58</v>
      </c>
    </row>
    <row r="72" spans="1:15" s="111" customFormat="1" ht="15" customHeight="1">
      <c r="A72" s="794"/>
      <c r="B72" s="794"/>
      <c r="C72" s="792"/>
      <c r="D72" s="1">
        <v>1</v>
      </c>
      <c r="E72" s="22">
        <v>1</v>
      </c>
      <c r="F72" s="22"/>
      <c r="G72" s="22">
        <v>1</v>
      </c>
      <c r="H72" s="22"/>
      <c r="I72" s="22" t="s">
        <v>212</v>
      </c>
      <c r="J72" s="222" t="s">
        <v>212</v>
      </c>
      <c r="K72" s="15">
        <v>2005</v>
      </c>
      <c r="L72" s="1" t="s">
        <v>366</v>
      </c>
      <c r="M72" s="200">
        <v>20</v>
      </c>
      <c r="N72" s="329">
        <v>19.812</v>
      </c>
      <c r="O72" s="368">
        <f aca="true" t="shared" si="2" ref="O72:O80">M72*N72</f>
        <v>396.24</v>
      </c>
    </row>
    <row r="73" spans="1:15" s="111" customFormat="1" ht="15" customHeight="1">
      <c r="A73" s="793"/>
      <c r="B73" s="793"/>
      <c r="C73" s="838"/>
      <c r="D73" s="1">
        <v>1</v>
      </c>
      <c r="E73" s="22">
        <v>1</v>
      </c>
      <c r="F73" s="22"/>
      <c r="G73" s="22">
        <v>1</v>
      </c>
      <c r="H73" s="22"/>
      <c r="I73" s="22" t="s">
        <v>212</v>
      </c>
      <c r="J73" s="222" t="s">
        <v>212</v>
      </c>
      <c r="K73" s="15">
        <v>1997</v>
      </c>
      <c r="L73" s="1" t="s">
        <v>366</v>
      </c>
      <c r="M73" s="200">
        <v>85</v>
      </c>
      <c r="N73" s="329">
        <v>19.812</v>
      </c>
      <c r="O73" s="368">
        <f t="shared" si="2"/>
        <v>1684.0200000000002</v>
      </c>
    </row>
    <row r="74" spans="1:15" s="111" customFormat="1" ht="15" customHeight="1">
      <c r="A74" s="791"/>
      <c r="B74" s="791"/>
      <c r="C74" s="792"/>
      <c r="D74" s="1">
        <v>1</v>
      </c>
      <c r="E74" s="22">
        <v>1</v>
      </c>
      <c r="F74" s="22"/>
      <c r="G74" s="22">
        <v>1</v>
      </c>
      <c r="H74" s="22"/>
      <c r="I74" s="22" t="s">
        <v>212</v>
      </c>
      <c r="J74" s="222" t="s">
        <v>212</v>
      </c>
      <c r="K74" s="15">
        <v>2004</v>
      </c>
      <c r="L74" s="1" t="s">
        <v>366</v>
      </c>
      <c r="M74" s="200">
        <f>64.5+40</f>
        <v>104.5</v>
      </c>
      <c r="N74" s="329">
        <v>19.812</v>
      </c>
      <c r="O74" s="368">
        <f t="shared" si="2"/>
        <v>2070.3540000000003</v>
      </c>
    </row>
    <row r="75" spans="1:15" s="111" customFormat="1" ht="15" customHeight="1">
      <c r="A75" s="791"/>
      <c r="B75" s="791"/>
      <c r="C75" s="792"/>
      <c r="D75" s="1">
        <v>1</v>
      </c>
      <c r="E75" s="22">
        <v>1</v>
      </c>
      <c r="F75" s="22"/>
      <c r="G75" s="22">
        <v>1</v>
      </c>
      <c r="H75" s="22"/>
      <c r="I75" s="22" t="s">
        <v>212</v>
      </c>
      <c r="J75" s="222" t="s">
        <v>422</v>
      </c>
      <c r="K75" s="15">
        <v>1999</v>
      </c>
      <c r="L75" s="1" t="s">
        <v>366</v>
      </c>
      <c r="M75" s="200">
        <f>86.25+53.5+64.5</f>
        <v>204.25</v>
      </c>
      <c r="N75" s="329">
        <v>19.812</v>
      </c>
      <c r="O75" s="368">
        <f t="shared" si="2"/>
        <v>4046.601</v>
      </c>
    </row>
    <row r="76" spans="1:15" s="111" customFormat="1" ht="15" customHeight="1">
      <c r="A76" s="791"/>
      <c r="B76" s="791"/>
      <c r="C76" s="792"/>
      <c r="D76" s="1">
        <v>1</v>
      </c>
      <c r="E76" s="22">
        <v>1</v>
      </c>
      <c r="F76" s="22"/>
      <c r="G76" s="22">
        <v>1</v>
      </c>
      <c r="H76" s="22"/>
      <c r="I76" s="22" t="s">
        <v>212</v>
      </c>
      <c r="J76" s="222" t="s">
        <v>422</v>
      </c>
      <c r="K76" s="15">
        <v>1996</v>
      </c>
      <c r="L76" s="1" t="s">
        <v>366</v>
      </c>
      <c r="M76" s="200">
        <f>118.5+24+48</f>
        <v>190.5</v>
      </c>
      <c r="N76" s="329">
        <v>19.812</v>
      </c>
      <c r="O76" s="368">
        <f t="shared" si="2"/>
        <v>3774.186</v>
      </c>
    </row>
    <row r="77" spans="1:15" s="111" customFormat="1" ht="15" customHeight="1">
      <c r="A77" s="794"/>
      <c r="B77" s="794"/>
      <c r="C77" s="790"/>
      <c r="D77" s="1">
        <v>1</v>
      </c>
      <c r="E77" s="22"/>
      <c r="F77" s="22">
        <v>1</v>
      </c>
      <c r="G77" s="22">
        <v>1</v>
      </c>
      <c r="H77" s="22"/>
      <c r="I77" s="222" t="s">
        <v>212</v>
      </c>
      <c r="J77" s="222" t="s">
        <v>212</v>
      </c>
      <c r="K77" s="15">
        <v>2005</v>
      </c>
      <c r="L77" s="1" t="s">
        <v>366</v>
      </c>
      <c r="M77" s="200">
        <f>60+20</f>
        <v>80</v>
      </c>
      <c r="N77" s="329">
        <v>19.812</v>
      </c>
      <c r="O77" s="368">
        <f t="shared" si="2"/>
        <v>1584.96</v>
      </c>
    </row>
    <row r="78" spans="1:15" s="111" customFormat="1" ht="15" customHeight="1">
      <c r="A78" s="799"/>
      <c r="B78" s="791"/>
      <c r="C78" s="792"/>
      <c r="D78" s="1">
        <v>1</v>
      </c>
      <c r="E78" s="22"/>
      <c r="F78" s="22">
        <v>1</v>
      </c>
      <c r="G78" s="22">
        <v>1</v>
      </c>
      <c r="H78" s="22"/>
      <c r="I78" s="222" t="s">
        <v>212</v>
      </c>
      <c r="J78" s="222" t="s">
        <v>212</v>
      </c>
      <c r="K78" s="15">
        <v>1999</v>
      </c>
      <c r="L78" s="1" t="s">
        <v>366</v>
      </c>
      <c r="M78" s="200">
        <f>102.5+26.25</f>
        <v>128.75</v>
      </c>
      <c r="N78" s="329">
        <v>19.812</v>
      </c>
      <c r="O78" s="368">
        <f t="shared" si="2"/>
        <v>2550.795</v>
      </c>
    </row>
    <row r="79" spans="1:15" s="280" customFormat="1" ht="15" customHeight="1">
      <c r="A79" s="791"/>
      <c r="B79" s="791"/>
      <c r="C79" s="792"/>
      <c r="D79" s="1">
        <v>1</v>
      </c>
      <c r="E79" s="22">
        <v>1</v>
      </c>
      <c r="F79" s="22"/>
      <c r="G79" s="22">
        <v>1</v>
      </c>
      <c r="H79" s="22"/>
      <c r="I79" s="22" t="s">
        <v>212</v>
      </c>
      <c r="J79" s="222" t="s">
        <v>423</v>
      </c>
      <c r="K79" s="15">
        <v>2006</v>
      </c>
      <c r="L79" s="1" t="s">
        <v>366</v>
      </c>
      <c r="M79" s="200">
        <v>76</v>
      </c>
      <c r="N79" s="329">
        <v>19.812</v>
      </c>
      <c r="O79" s="368">
        <f t="shared" si="2"/>
        <v>1505.712</v>
      </c>
    </row>
    <row r="80" spans="1:15" s="280" customFormat="1" ht="15" customHeight="1">
      <c r="A80" s="794"/>
      <c r="B80" s="794"/>
      <c r="C80" s="792"/>
      <c r="D80" s="1">
        <v>1</v>
      </c>
      <c r="E80" s="22">
        <v>1</v>
      </c>
      <c r="F80" s="22"/>
      <c r="G80" s="22">
        <v>1</v>
      </c>
      <c r="H80" s="22"/>
      <c r="I80" s="222" t="s">
        <v>212</v>
      </c>
      <c r="J80" s="222" t="s">
        <v>212</v>
      </c>
      <c r="K80" s="15">
        <v>2001</v>
      </c>
      <c r="L80" s="1" t="s">
        <v>366</v>
      </c>
      <c r="M80" s="200">
        <v>287.75</v>
      </c>
      <c r="N80" s="329">
        <v>19.812</v>
      </c>
      <c r="O80" s="368">
        <f t="shared" si="2"/>
        <v>5700.903</v>
      </c>
    </row>
    <row r="81" spans="1:15" s="12" customFormat="1" ht="15" customHeight="1">
      <c r="A81" s="1126" t="s">
        <v>278</v>
      </c>
      <c r="B81" s="1127"/>
      <c r="C81" s="15"/>
      <c r="D81" s="1"/>
      <c r="E81" s="22"/>
      <c r="F81" s="22"/>
      <c r="G81" s="22"/>
      <c r="H81" s="22"/>
      <c r="I81" s="22"/>
      <c r="J81" s="15"/>
      <c r="K81" s="22"/>
      <c r="L81" s="305" t="s">
        <v>121</v>
      </c>
      <c r="M81" s="200"/>
      <c r="N81" s="195"/>
      <c r="O81" s="195">
        <v>396</v>
      </c>
    </row>
    <row r="82" spans="1:16" s="215" customFormat="1" ht="15" customHeight="1">
      <c r="A82" s="1035" t="s">
        <v>328</v>
      </c>
      <c r="B82" s="1035"/>
      <c r="C82" s="362"/>
      <c r="D82" s="104">
        <f>SUM(D72:D81)</f>
        <v>9</v>
      </c>
      <c r="E82" s="104">
        <f>SUM(E72:E81)</f>
        <v>7</v>
      </c>
      <c r="F82" s="104">
        <f>SUM(F72:F81)</f>
        <v>2</v>
      </c>
      <c r="G82" s="104">
        <f>SUM(G72:G81)</f>
        <v>9</v>
      </c>
      <c r="H82" s="104">
        <f>SUM(H72:H81)</f>
        <v>0</v>
      </c>
      <c r="I82" s="319"/>
      <c r="J82" s="207"/>
      <c r="K82" s="207"/>
      <c r="L82" s="214"/>
      <c r="M82" s="203">
        <f>SUM(M72:M81)</f>
        <v>1176.75</v>
      </c>
      <c r="N82" s="333"/>
      <c r="O82" s="204">
        <f>SUM(O72:O81)</f>
        <v>23709.771</v>
      </c>
      <c r="P82" s="343"/>
    </row>
    <row r="83" spans="1:17" s="208" customFormat="1" ht="15" customHeight="1">
      <c r="A83" s="1128" t="s">
        <v>227</v>
      </c>
      <c r="B83" s="1128"/>
      <c r="C83" s="131"/>
      <c r="D83" s="131">
        <f>D82+D66+D58+D52+D44+D39+D35+D11</f>
        <v>47</v>
      </c>
      <c r="E83" s="131">
        <f>E82+E66+E58+E52+E44+E39+E35+E11</f>
        <v>39</v>
      </c>
      <c r="F83" s="131">
        <f>F82+F66+F58+F52+F44+F39+F35+F11</f>
        <v>8</v>
      </c>
      <c r="G83" s="131">
        <f>G82+G66+G58+G52+G44+G39+G35+G11</f>
        <v>40</v>
      </c>
      <c r="H83" s="131">
        <f>H82+H66+H58+H52+H44+H39+H35+H11</f>
        <v>7</v>
      </c>
      <c r="I83" s="131"/>
      <c r="J83" s="131"/>
      <c r="K83" s="131"/>
      <c r="L83" s="454"/>
      <c r="M83" s="217">
        <f>M82+M66+M58+M52+M44+M39+M35+M11</f>
        <v>5281.25</v>
      </c>
      <c r="N83" s="320"/>
      <c r="O83" s="201">
        <f>O82+O66+O58+O52+O44+O39+O35+O11</f>
        <v>112506.67900000002</v>
      </c>
      <c r="Q83" s="344"/>
    </row>
  </sheetData>
  <mergeCells count="27">
    <mergeCell ref="A82:B82"/>
    <mergeCell ref="A83:B83"/>
    <mergeCell ref="A53:B53"/>
    <mergeCell ref="A58:B58"/>
    <mergeCell ref="A59:B59"/>
    <mergeCell ref="A66:B66"/>
    <mergeCell ref="A67:B67"/>
    <mergeCell ref="A69:B69"/>
    <mergeCell ref="A65:B65"/>
    <mergeCell ref="A81:B81"/>
    <mergeCell ref="A45:B45"/>
    <mergeCell ref="A52:B52"/>
    <mergeCell ref="A51:B51"/>
    <mergeCell ref="A70:B70"/>
    <mergeCell ref="A39:B39"/>
    <mergeCell ref="A32:B32"/>
    <mergeCell ref="A40:B40"/>
    <mergeCell ref="A44:B44"/>
    <mergeCell ref="A33:B33"/>
    <mergeCell ref="A34:B34"/>
    <mergeCell ref="A12:B12"/>
    <mergeCell ref="A35:B35"/>
    <mergeCell ref="A36:B36"/>
    <mergeCell ref="A1:N1"/>
    <mergeCell ref="A2:O2"/>
    <mergeCell ref="A3:B3"/>
    <mergeCell ref="A11:B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O46"/>
  <sheetViews>
    <sheetView workbookViewId="0" topLeftCell="A1">
      <selection activeCell="A9" sqref="A9:C10"/>
    </sheetView>
  </sheetViews>
  <sheetFormatPr defaultColWidth="9.140625" defaultRowHeight="12.75"/>
  <cols>
    <col min="1" max="1" width="20.7109375" style="3" customWidth="1"/>
    <col min="2" max="2" width="20.8515625" style="3" customWidth="1"/>
    <col min="3" max="3" width="20.7109375" style="4" customWidth="1"/>
    <col min="4" max="4" width="7.57421875" style="3" customWidth="1"/>
    <col min="5" max="5" width="5.7109375" style="303" customWidth="1"/>
    <col min="6" max="6" width="5.7109375" style="3" customWidth="1"/>
    <col min="7" max="8" width="9.7109375" style="3" customWidth="1"/>
    <col min="9" max="10" width="13.7109375" style="3" customWidth="1"/>
    <col min="11" max="11" width="10.140625" style="3" customWidth="1"/>
    <col min="12" max="12" width="23.140625" style="9" customWidth="1"/>
    <col min="13" max="13" width="19.8515625" style="212" customWidth="1"/>
    <col min="14" max="14" width="16.8515625" style="9" customWidth="1"/>
    <col min="15" max="15" width="20.00390625" style="9" customWidth="1"/>
    <col min="16" max="16384" width="11.57421875" style="9" customWidth="1"/>
  </cols>
  <sheetData>
    <row r="1" spans="1:13" s="5" customFormat="1" ht="30" customHeight="1">
      <c r="A1" s="1123" t="s">
        <v>426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589">
        <v>40070182</v>
      </c>
    </row>
    <row r="2" spans="1:13" s="6" customFormat="1" ht="35.25" customHeight="1">
      <c r="A2" s="1041" t="s">
        <v>281</v>
      </c>
      <c r="B2" s="1042"/>
      <c r="C2" s="1042"/>
      <c r="D2" s="1042"/>
      <c r="E2" s="1042"/>
      <c r="F2" s="1042"/>
      <c r="G2" s="1042"/>
      <c r="H2" s="1042"/>
      <c r="I2" s="1042"/>
      <c r="J2" s="1042"/>
      <c r="K2" s="1042"/>
      <c r="L2" s="1129"/>
      <c r="M2" s="1130"/>
    </row>
    <row r="3" spans="1:13" s="4" customFormat="1" ht="15" customHeight="1">
      <c r="A3" s="1027" t="s">
        <v>66</v>
      </c>
      <c r="B3" s="1027"/>
      <c r="C3" s="87"/>
      <c r="D3" s="87"/>
      <c r="E3" s="300"/>
      <c r="F3" s="87"/>
      <c r="G3" s="87"/>
      <c r="H3" s="87"/>
      <c r="I3" s="87"/>
      <c r="J3" s="87"/>
      <c r="K3" s="87"/>
      <c r="L3" s="593"/>
      <c r="M3" s="211"/>
    </row>
    <row r="4" spans="1:13" s="50" customFormat="1" ht="55.5" customHeight="1">
      <c r="A4" s="39" t="s">
        <v>332</v>
      </c>
      <c r="B4" s="39" t="s">
        <v>333</v>
      </c>
      <c r="C4" s="39" t="s">
        <v>213</v>
      </c>
      <c r="D4" s="115" t="s">
        <v>36</v>
      </c>
      <c r="E4" s="115" t="s">
        <v>73</v>
      </c>
      <c r="F4" s="115" t="s">
        <v>74</v>
      </c>
      <c r="G4" s="115" t="s">
        <v>37</v>
      </c>
      <c r="H4" s="115" t="s">
        <v>38</v>
      </c>
      <c r="I4" s="115" t="s">
        <v>15</v>
      </c>
      <c r="J4" s="115" t="s">
        <v>214</v>
      </c>
      <c r="K4" s="115" t="s">
        <v>39</v>
      </c>
      <c r="L4" s="115" t="s">
        <v>84</v>
      </c>
      <c r="M4" s="595" t="s">
        <v>58</v>
      </c>
    </row>
    <row r="5" spans="1:14" s="278" customFormat="1" ht="15.75" customHeight="1">
      <c r="A5" s="1111" t="s">
        <v>51</v>
      </c>
      <c r="B5" s="1112"/>
      <c r="C5" s="1"/>
      <c r="D5" s="1"/>
      <c r="E5" s="295"/>
      <c r="F5" s="1"/>
      <c r="G5" s="1"/>
      <c r="H5" s="1"/>
      <c r="I5" s="1"/>
      <c r="J5" s="1"/>
      <c r="K5" s="1"/>
      <c r="L5" s="305"/>
      <c r="M5" s="325">
        <v>216.44</v>
      </c>
      <c r="N5" s="316"/>
    </row>
    <row r="6" spans="1:14" s="206" customFormat="1" ht="15" customHeight="1">
      <c r="A6" s="1030" t="s">
        <v>75</v>
      </c>
      <c r="B6" s="1030"/>
      <c r="C6" s="104"/>
      <c r="D6" s="104">
        <v>0</v>
      </c>
      <c r="E6" s="104">
        <v>0</v>
      </c>
      <c r="F6" s="104">
        <v>0</v>
      </c>
      <c r="G6" s="104"/>
      <c r="H6" s="104">
        <v>0</v>
      </c>
      <c r="I6" s="104"/>
      <c r="J6" s="104"/>
      <c r="K6" s="104"/>
      <c r="L6" s="596"/>
      <c r="M6" s="204">
        <f>SUM(M5)</f>
        <v>216.44</v>
      </c>
      <c r="N6" s="209"/>
    </row>
    <row r="7" spans="1:13" s="4" customFormat="1" ht="15" customHeight="1">
      <c r="A7" s="1027" t="s">
        <v>64</v>
      </c>
      <c r="B7" s="1027"/>
      <c r="C7" s="87"/>
      <c r="D7" s="87"/>
      <c r="E7" s="300"/>
      <c r="F7" s="87"/>
      <c r="G7" s="87"/>
      <c r="H7" s="87"/>
      <c r="I7" s="87"/>
      <c r="J7" s="87"/>
      <c r="K7" s="87"/>
      <c r="L7" s="597"/>
      <c r="M7" s="211"/>
    </row>
    <row r="8" spans="1:13" s="50" customFormat="1" ht="57" customHeight="1">
      <c r="A8" s="39" t="s">
        <v>332</v>
      </c>
      <c r="B8" s="39" t="s">
        <v>333</v>
      </c>
      <c r="C8" s="39" t="s">
        <v>213</v>
      </c>
      <c r="D8" s="115" t="s">
        <v>36</v>
      </c>
      <c r="E8" s="115" t="s">
        <v>73</v>
      </c>
      <c r="F8" s="115" t="s">
        <v>74</v>
      </c>
      <c r="G8" s="115" t="s">
        <v>37</v>
      </c>
      <c r="H8" s="115" t="s">
        <v>38</v>
      </c>
      <c r="I8" s="115" t="s">
        <v>15</v>
      </c>
      <c r="J8" s="115" t="s">
        <v>214</v>
      </c>
      <c r="K8" s="115" t="s">
        <v>39</v>
      </c>
      <c r="L8" s="115" t="s">
        <v>84</v>
      </c>
      <c r="M8" s="595" t="s">
        <v>58</v>
      </c>
    </row>
    <row r="9" spans="1:13" s="278" customFormat="1" ht="15" customHeight="1">
      <c r="A9" s="794"/>
      <c r="B9" s="795"/>
      <c r="C9" s="790"/>
      <c r="D9" s="1">
        <v>1</v>
      </c>
      <c r="E9" s="22">
        <v>1</v>
      </c>
      <c r="F9" s="22"/>
      <c r="G9" s="22">
        <v>1</v>
      </c>
      <c r="H9" s="22"/>
      <c r="I9" s="22" t="s">
        <v>212</v>
      </c>
      <c r="J9" s="22" t="s">
        <v>212</v>
      </c>
      <c r="K9" s="22">
        <v>2000</v>
      </c>
      <c r="L9" s="1" t="s">
        <v>53</v>
      </c>
      <c r="M9" s="368">
        <v>686.19</v>
      </c>
    </row>
    <row r="10" spans="1:13" s="278" customFormat="1" ht="15" customHeight="1">
      <c r="A10" s="794"/>
      <c r="B10" s="795"/>
      <c r="C10" s="790"/>
      <c r="D10" s="1">
        <v>1</v>
      </c>
      <c r="E10" s="22">
        <v>1</v>
      </c>
      <c r="F10" s="22"/>
      <c r="G10" s="22">
        <v>1</v>
      </c>
      <c r="H10" s="22"/>
      <c r="I10" s="22" t="s">
        <v>212</v>
      </c>
      <c r="J10" s="15" t="s">
        <v>212</v>
      </c>
      <c r="K10" s="22">
        <v>1994</v>
      </c>
      <c r="L10" s="1" t="s">
        <v>366</v>
      </c>
      <c r="M10" s="368">
        <v>1273.06</v>
      </c>
    </row>
    <row r="11" spans="1:14" s="278" customFormat="1" ht="15.75" customHeight="1">
      <c r="A11" s="1111" t="s">
        <v>51</v>
      </c>
      <c r="B11" s="1112"/>
      <c r="C11" s="1"/>
      <c r="D11" s="1"/>
      <c r="E11" s="295"/>
      <c r="F11" s="1"/>
      <c r="G11" s="1"/>
      <c r="H11" s="1"/>
      <c r="I11" s="1"/>
      <c r="J11" s="1"/>
      <c r="K11" s="1"/>
      <c r="L11" s="305"/>
      <c r="M11" s="325">
        <v>735.96</v>
      </c>
      <c r="N11" s="316"/>
    </row>
    <row r="12" spans="1:13" s="213" customFormat="1" ht="15" customHeight="1">
      <c r="A12" s="1030" t="s">
        <v>8</v>
      </c>
      <c r="B12" s="1030"/>
      <c r="C12" s="205"/>
      <c r="D12" s="205">
        <f>SUM(D9:D11)</f>
        <v>2</v>
      </c>
      <c r="E12" s="205">
        <f>SUM(E9:E11)</f>
        <v>2</v>
      </c>
      <c r="F12" s="205">
        <f>SUM(F9:F11)</f>
        <v>0</v>
      </c>
      <c r="G12" s="205">
        <f>SUM(G9:G11)</f>
        <v>2</v>
      </c>
      <c r="H12" s="205">
        <f>SUM(H9:H11)</f>
        <v>0</v>
      </c>
      <c r="I12" s="205"/>
      <c r="J12" s="205"/>
      <c r="K12" s="205"/>
      <c r="L12" s="596"/>
      <c r="M12" s="204">
        <f>SUM(M9:M11)</f>
        <v>2695.21</v>
      </c>
    </row>
    <row r="13" spans="1:13" s="4" customFormat="1" ht="15" customHeight="1">
      <c r="A13" s="1027" t="s">
        <v>67</v>
      </c>
      <c r="B13" s="1027"/>
      <c r="C13" s="87"/>
      <c r="D13" s="87"/>
      <c r="E13" s="300"/>
      <c r="F13" s="87"/>
      <c r="G13" s="87"/>
      <c r="H13" s="87"/>
      <c r="I13" s="87"/>
      <c r="J13" s="87"/>
      <c r="K13" s="87"/>
      <c r="L13" s="103"/>
      <c r="M13" s="211"/>
    </row>
    <row r="14" spans="1:13" s="50" customFormat="1" ht="57" customHeight="1">
      <c r="A14" s="39" t="s">
        <v>332</v>
      </c>
      <c r="B14" s="39" t="s">
        <v>333</v>
      </c>
      <c r="C14" s="39" t="s">
        <v>213</v>
      </c>
      <c r="D14" s="115" t="s">
        <v>36</v>
      </c>
      <c r="E14" s="115" t="s">
        <v>73</v>
      </c>
      <c r="F14" s="115" t="s">
        <v>74</v>
      </c>
      <c r="G14" s="115" t="s">
        <v>37</v>
      </c>
      <c r="H14" s="115" t="s">
        <v>38</v>
      </c>
      <c r="I14" s="115" t="s">
        <v>15</v>
      </c>
      <c r="J14" s="115" t="s">
        <v>214</v>
      </c>
      <c r="K14" s="115" t="s">
        <v>39</v>
      </c>
      <c r="L14" s="115" t="s">
        <v>84</v>
      </c>
      <c r="M14" s="595" t="s">
        <v>58</v>
      </c>
    </row>
    <row r="15" spans="1:13" s="278" customFormat="1" ht="15" customHeight="1">
      <c r="A15" s="1111" t="s">
        <v>51</v>
      </c>
      <c r="B15" s="1112"/>
      <c r="C15" s="279"/>
      <c r="D15" s="279"/>
      <c r="E15" s="301"/>
      <c r="F15" s="279"/>
      <c r="G15" s="279"/>
      <c r="H15" s="279"/>
      <c r="I15" s="279"/>
      <c r="J15" s="279"/>
      <c r="K15" s="279"/>
      <c r="L15" s="305"/>
      <c r="M15" s="195">
        <v>79.88</v>
      </c>
    </row>
    <row r="16" spans="1:13" s="213" customFormat="1" ht="15" customHeight="1">
      <c r="A16" s="1030" t="s">
        <v>95</v>
      </c>
      <c r="B16" s="1030"/>
      <c r="C16" s="205"/>
      <c r="D16" s="104">
        <v>0</v>
      </c>
      <c r="E16" s="104">
        <v>0</v>
      </c>
      <c r="F16" s="104">
        <v>0</v>
      </c>
      <c r="G16" s="104"/>
      <c r="H16" s="104">
        <v>0</v>
      </c>
      <c r="I16" s="205"/>
      <c r="J16" s="205"/>
      <c r="K16" s="205"/>
      <c r="L16" s="500"/>
      <c r="M16" s="204">
        <f>SUM(M15:M15)</f>
        <v>79.88</v>
      </c>
    </row>
    <row r="17" spans="1:13" s="4" customFormat="1" ht="15" customHeight="1">
      <c r="A17" s="1027" t="s">
        <v>68</v>
      </c>
      <c r="B17" s="1027"/>
      <c r="C17" s="87"/>
      <c r="D17" s="87"/>
      <c r="E17" s="300"/>
      <c r="F17" s="87"/>
      <c r="G17" s="87"/>
      <c r="H17" s="87"/>
      <c r="I17" s="87"/>
      <c r="J17" s="87"/>
      <c r="K17" s="87"/>
      <c r="L17" s="103"/>
      <c r="M17" s="211"/>
    </row>
    <row r="18" spans="1:13" s="50" customFormat="1" ht="48.75" customHeight="1">
      <c r="A18" s="39" t="s">
        <v>332</v>
      </c>
      <c r="B18" s="39" t="s">
        <v>333</v>
      </c>
      <c r="C18" s="39" t="s">
        <v>213</v>
      </c>
      <c r="D18" s="115" t="s">
        <v>36</v>
      </c>
      <c r="E18" s="115" t="s">
        <v>73</v>
      </c>
      <c r="F18" s="115" t="s">
        <v>74</v>
      </c>
      <c r="G18" s="115" t="s">
        <v>37</v>
      </c>
      <c r="H18" s="115" t="s">
        <v>38</v>
      </c>
      <c r="I18" s="115" t="s">
        <v>15</v>
      </c>
      <c r="J18" s="115" t="s">
        <v>214</v>
      </c>
      <c r="K18" s="115" t="s">
        <v>39</v>
      </c>
      <c r="L18" s="115" t="s">
        <v>84</v>
      </c>
      <c r="M18" s="595" t="s">
        <v>58</v>
      </c>
    </row>
    <row r="19" spans="1:13" s="111" customFormat="1" ht="15" customHeight="1">
      <c r="A19" s="1111" t="s">
        <v>51</v>
      </c>
      <c r="B19" s="1112"/>
      <c r="C19" s="307"/>
      <c r="D19" s="305"/>
      <c r="E19" s="305"/>
      <c r="F19" s="305"/>
      <c r="G19" s="305"/>
      <c r="H19" s="305"/>
      <c r="I19" s="335"/>
      <c r="J19" s="305"/>
      <c r="K19" s="305"/>
      <c r="L19" s="200"/>
      <c r="M19" s="325">
        <v>175.16</v>
      </c>
    </row>
    <row r="20" spans="1:13" s="213" customFormat="1" ht="15" customHeight="1">
      <c r="A20" s="1030" t="s">
        <v>478</v>
      </c>
      <c r="B20" s="1030"/>
      <c r="C20" s="311"/>
      <c r="D20" s="202"/>
      <c r="E20" s="202"/>
      <c r="F20" s="202"/>
      <c r="G20" s="202"/>
      <c r="H20" s="202"/>
      <c r="I20" s="312"/>
      <c r="J20" s="207"/>
      <c r="K20" s="207"/>
      <c r="L20" s="203"/>
      <c r="M20" s="339">
        <f>SUM(M19:M19)</f>
        <v>175.16</v>
      </c>
    </row>
    <row r="21" spans="1:13" s="4" customFormat="1" ht="15" customHeight="1">
      <c r="A21" s="1027" t="s">
        <v>65</v>
      </c>
      <c r="B21" s="1027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103"/>
    </row>
    <row r="22" spans="1:13" s="4" customFormat="1" ht="48.75" customHeight="1">
      <c r="A22" s="39" t="s">
        <v>332</v>
      </c>
      <c r="B22" s="39" t="s">
        <v>333</v>
      </c>
      <c r="C22" s="39" t="s">
        <v>213</v>
      </c>
      <c r="D22" s="115" t="s">
        <v>36</v>
      </c>
      <c r="E22" s="115" t="s">
        <v>73</v>
      </c>
      <c r="F22" s="115" t="s">
        <v>74</v>
      </c>
      <c r="G22" s="115" t="s">
        <v>37</v>
      </c>
      <c r="H22" s="115" t="s">
        <v>38</v>
      </c>
      <c r="I22" s="115" t="s">
        <v>15</v>
      </c>
      <c r="J22" s="115" t="s">
        <v>214</v>
      </c>
      <c r="K22" s="115" t="s">
        <v>39</v>
      </c>
      <c r="L22" s="115" t="s">
        <v>84</v>
      </c>
      <c r="M22" s="595" t="s">
        <v>58</v>
      </c>
    </row>
    <row r="23" spans="1:13" s="111" customFormat="1" ht="15" customHeight="1">
      <c r="A23" s="1111" t="s">
        <v>51</v>
      </c>
      <c r="B23" s="1112"/>
      <c r="C23" s="307"/>
      <c r="D23" s="305"/>
      <c r="E23" s="305"/>
      <c r="F23" s="305"/>
      <c r="G23" s="305"/>
      <c r="H23" s="305"/>
      <c r="I23" s="335"/>
      <c r="J23" s="305"/>
      <c r="K23" s="305"/>
      <c r="L23" s="200"/>
      <c r="M23" s="325">
        <v>246.84</v>
      </c>
    </row>
    <row r="24" spans="1:13" s="213" customFormat="1" ht="15" customHeight="1">
      <c r="A24" s="1030" t="s">
        <v>340</v>
      </c>
      <c r="B24" s="1030"/>
      <c r="C24" s="311"/>
      <c r="D24" s="104">
        <v>0</v>
      </c>
      <c r="E24" s="104">
        <v>0</v>
      </c>
      <c r="F24" s="104">
        <v>0</v>
      </c>
      <c r="G24" s="104"/>
      <c r="H24" s="104">
        <v>0</v>
      </c>
      <c r="I24" s="312"/>
      <c r="J24" s="207"/>
      <c r="K24" s="207"/>
      <c r="L24" s="203"/>
      <c r="M24" s="339">
        <f>SUM(M23:M23)</f>
        <v>246.84</v>
      </c>
    </row>
    <row r="25" spans="1:13" s="4" customFormat="1" ht="15" customHeight="1">
      <c r="A25" s="1027" t="s">
        <v>69</v>
      </c>
      <c r="B25" s="1027"/>
      <c r="C25" s="313"/>
      <c r="D25" s="365"/>
      <c r="E25" s="314"/>
      <c r="F25" s="314"/>
      <c r="G25" s="314"/>
      <c r="H25" s="314"/>
      <c r="I25" s="315"/>
      <c r="J25" s="314"/>
      <c r="K25" s="314"/>
      <c r="L25" s="199"/>
      <c r="M25" s="103"/>
    </row>
    <row r="26" spans="1:13" s="4" customFormat="1" ht="48.75" customHeight="1">
      <c r="A26" s="39" t="s">
        <v>332</v>
      </c>
      <c r="B26" s="39" t="s">
        <v>333</v>
      </c>
      <c r="C26" s="39" t="s">
        <v>213</v>
      </c>
      <c r="D26" s="115" t="s">
        <v>36</v>
      </c>
      <c r="E26" s="115" t="s">
        <v>73</v>
      </c>
      <c r="F26" s="115" t="s">
        <v>74</v>
      </c>
      <c r="G26" s="115" t="s">
        <v>37</v>
      </c>
      <c r="H26" s="115" t="s">
        <v>38</v>
      </c>
      <c r="I26" s="115" t="s">
        <v>15</v>
      </c>
      <c r="J26" s="115" t="s">
        <v>214</v>
      </c>
      <c r="K26" s="115" t="s">
        <v>39</v>
      </c>
      <c r="L26" s="115" t="s">
        <v>84</v>
      </c>
      <c r="M26" s="595" t="s">
        <v>58</v>
      </c>
    </row>
    <row r="27" spans="1:13" s="278" customFormat="1" ht="15" customHeight="1">
      <c r="A27" s="1111" t="s">
        <v>51</v>
      </c>
      <c r="B27" s="1112"/>
      <c r="C27" s="307"/>
      <c r="D27" s="305"/>
      <c r="E27" s="305"/>
      <c r="F27" s="305"/>
      <c r="G27" s="305"/>
      <c r="H27" s="305"/>
      <c r="I27" s="335"/>
      <c r="J27" s="305"/>
      <c r="K27" s="305"/>
      <c r="L27" s="200"/>
      <c r="M27" s="338">
        <v>173.6</v>
      </c>
    </row>
    <row r="28" spans="1:13" s="213" customFormat="1" ht="15" customHeight="1">
      <c r="A28" s="1030" t="s">
        <v>13</v>
      </c>
      <c r="B28" s="1030"/>
      <c r="C28" s="311"/>
      <c r="D28" s="104">
        <v>0</v>
      </c>
      <c r="E28" s="104">
        <v>0</v>
      </c>
      <c r="F28" s="104">
        <v>0</v>
      </c>
      <c r="G28" s="104"/>
      <c r="H28" s="104">
        <v>0</v>
      </c>
      <c r="I28" s="312"/>
      <c r="J28" s="207"/>
      <c r="K28" s="207"/>
      <c r="L28" s="203"/>
      <c r="M28" s="339">
        <f>SUM(M27:M27)</f>
        <v>173.6</v>
      </c>
    </row>
    <row r="29" spans="1:13" s="4" customFormat="1" ht="15" customHeight="1">
      <c r="A29" s="1027" t="s">
        <v>70</v>
      </c>
      <c r="B29" s="1027"/>
      <c r="C29" s="313"/>
      <c r="D29" s="365"/>
      <c r="E29" s="314"/>
      <c r="F29" s="314"/>
      <c r="G29" s="314"/>
      <c r="H29" s="314"/>
      <c r="I29" s="315"/>
      <c r="J29" s="314"/>
      <c r="K29" s="314"/>
      <c r="L29" s="199"/>
      <c r="M29" s="103"/>
    </row>
    <row r="30" spans="1:13" s="4" customFormat="1" ht="48.75" customHeight="1">
      <c r="A30" s="39" t="s">
        <v>332</v>
      </c>
      <c r="B30" s="39" t="s">
        <v>333</v>
      </c>
      <c r="C30" s="39" t="s">
        <v>213</v>
      </c>
      <c r="D30" s="115" t="s">
        <v>36</v>
      </c>
      <c r="E30" s="115" t="s">
        <v>73</v>
      </c>
      <c r="F30" s="115" t="s">
        <v>74</v>
      </c>
      <c r="G30" s="115" t="s">
        <v>37</v>
      </c>
      <c r="H30" s="115" t="s">
        <v>38</v>
      </c>
      <c r="I30" s="115" t="s">
        <v>15</v>
      </c>
      <c r="J30" s="115" t="s">
        <v>214</v>
      </c>
      <c r="K30" s="115" t="s">
        <v>39</v>
      </c>
      <c r="L30" s="115" t="s">
        <v>84</v>
      </c>
      <c r="M30" s="595" t="s">
        <v>58</v>
      </c>
    </row>
    <row r="31" spans="1:13" s="111" customFormat="1" ht="15" customHeight="1">
      <c r="A31" s="791"/>
      <c r="B31" s="791"/>
      <c r="C31" s="792"/>
      <c r="D31" s="1">
        <v>1</v>
      </c>
      <c r="E31" s="22">
        <v>1</v>
      </c>
      <c r="F31" s="77"/>
      <c r="G31" s="77">
        <v>1</v>
      </c>
      <c r="H31" s="22"/>
      <c r="I31" s="22" t="s">
        <v>212</v>
      </c>
      <c r="J31" s="222" t="s">
        <v>212</v>
      </c>
      <c r="K31" s="75">
        <v>1993</v>
      </c>
      <c r="L31" s="1" t="s">
        <v>366</v>
      </c>
      <c r="M31" s="338">
        <v>1223.04</v>
      </c>
    </row>
    <row r="32" spans="1:13" s="111" customFormat="1" ht="15" customHeight="1">
      <c r="A32" s="1111" t="s">
        <v>51</v>
      </c>
      <c r="B32" s="1112"/>
      <c r="C32" s="307"/>
      <c r="D32" s="305"/>
      <c r="E32" s="305"/>
      <c r="F32" s="305"/>
      <c r="G32" s="305"/>
      <c r="H32" s="305"/>
      <c r="I32" s="335"/>
      <c r="J32" s="305"/>
      <c r="K32" s="305"/>
      <c r="L32" s="198"/>
      <c r="M32" s="338">
        <v>322.64</v>
      </c>
    </row>
    <row r="33" spans="1:13" s="213" customFormat="1" ht="15" customHeight="1">
      <c r="A33" s="1030" t="s">
        <v>341</v>
      </c>
      <c r="B33" s="1030"/>
      <c r="C33" s="311"/>
      <c r="D33" s="205">
        <f>SUM(D31:D32)</f>
        <v>1</v>
      </c>
      <c r="E33" s="205">
        <f>SUM(E31:E31)</f>
        <v>1</v>
      </c>
      <c r="F33" s="205"/>
      <c r="G33" s="205">
        <f>SUM(G31:G31)</f>
        <v>1</v>
      </c>
      <c r="H33" s="205"/>
      <c r="I33" s="312"/>
      <c r="J33" s="207"/>
      <c r="K33" s="207"/>
      <c r="L33" s="203"/>
      <c r="M33" s="204">
        <f>SUM(M31:M32)</f>
        <v>1545.6799999999998</v>
      </c>
    </row>
    <row r="34" spans="1:13" s="4" customFormat="1" ht="15" customHeight="1">
      <c r="A34" s="1027" t="s">
        <v>71</v>
      </c>
      <c r="B34" s="1027"/>
      <c r="C34" s="313"/>
      <c r="D34" s="365"/>
      <c r="E34" s="314"/>
      <c r="F34" s="314"/>
      <c r="G34" s="314"/>
      <c r="H34" s="314"/>
      <c r="I34" s="315"/>
      <c r="J34" s="314"/>
      <c r="K34" s="314"/>
      <c r="L34" s="199"/>
      <c r="M34" s="103"/>
    </row>
    <row r="35" spans="1:13" s="4" customFormat="1" ht="48.75" customHeight="1">
      <c r="A35" s="39" t="s">
        <v>332</v>
      </c>
      <c r="B35" s="39" t="s">
        <v>333</v>
      </c>
      <c r="C35" s="39" t="s">
        <v>213</v>
      </c>
      <c r="D35" s="115" t="s">
        <v>36</v>
      </c>
      <c r="E35" s="115" t="s">
        <v>73</v>
      </c>
      <c r="F35" s="115" t="s">
        <v>74</v>
      </c>
      <c r="G35" s="115" t="s">
        <v>37</v>
      </c>
      <c r="H35" s="115" t="s">
        <v>38</v>
      </c>
      <c r="I35" s="115" t="s">
        <v>15</v>
      </c>
      <c r="J35" s="115" t="s">
        <v>214</v>
      </c>
      <c r="K35" s="115" t="s">
        <v>39</v>
      </c>
      <c r="L35" s="115" t="s">
        <v>84</v>
      </c>
      <c r="M35" s="595" t="s">
        <v>58</v>
      </c>
    </row>
    <row r="36" spans="1:13" s="111" customFormat="1" ht="15" customHeight="1">
      <c r="A36" s="1111" t="s">
        <v>51</v>
      </c>
      <c r="B36" s="1112"/>
      <c r="C36" s="307"/>
      <c r="D36" s="305"/>
      <c r="E36" s="305"/>
      <c r="F36" s="305"/>
      <c r="G36" s="305"/>
      <c r="H36" s="305"/>
      <c r="I36" s="335"/>
      <c r="J36" s="305"/>
      <c r="K36" s="305"/>
      <c r="L36" s="198"/>
      <c r="M36" s="338">
        <v>39.44</v>
      </c>
    </row>
    <row r="37" spans="1:13" s="215" customFormat="1" ht="15" customHeight="1">
      <c r="A37" s="1035" t="s">
        <v>22</v>
      </c>
      <c r="B37" s="1035"/>
      <c r="C37" s="318"/>
      <c r="D37" s="104">
        <v>0</v>
      </c>
      <c r="E37" s="104">
        <v>0</v>
      </c>
      <c r="F37" s="104">
        <v>0</v>
      </c>
      <c r="G37" s="104"/>
      <c r="H37" s="104">
        <v>0</v>
      </c>
      <c r="I37" s="319"/>
      <c r="J37" s="207"/>
      <c r="K37" s="207"/>
      <c r="L37" s="214"/>
      <c r="M37" s="204">
        <f>SUM(M36:M36)</f>
        <v>39.44</v>
      </c>
    </row>
    <row r="38" spans="1:13" s="4" customFormat="1" ht="15" customHeight="1">
      <c r="A38" s="1027" t="s">
        <v>72</v>
      </c>
      <c r="B38" s="1027"/>
      <c r="C38" s="313"/>
      <c r="D38" s="365"/>
      <c r="E38" s="314"/>
      <c r="F38" s="314"/>
      <c r="G38" s="314"/>
      <c r="H38" s="314"/>
      <c r="I38" s="315"/>
      <c r="J38" s="314"/>
      <c r="K38" s="314"/>
      <c r="L38" s="199"/>
      <c r="M38" s="103"/>
    </row>
    <row r="39" spans="1:13" s="4" customFormat="1" ht="48.75" customHeight="1">
      <c r="A39" s="39" t="s">
        <v>332</v>
      </c>
      <c r="B39" s="39" t="s">
        <v>333</v>
      </c>
      <c r="C39" s="39" t="s">
        <v>213</v>
      </c>
      <c r="D39" s="115" t="s">
        <v>36</v>
      </c>
      <c r="E39" s="115" t="s">
        <v>73</v>
      </c>
      <c r="F39" s="115" t="s">
        <v>74</v>
      </c>
      <c r="G39" s="115" t="s">
        <v>37</v>
      </c>
      <c r="H39" s="115" t="s">
        <v>38</v>
      </c>
      <c r="I39" s="115" t="s">
        <v>15</v>
      </c>
      <c r="J39" s="115" t="s">
        <v>214</v>
      </c>
      <c r="K39" s="115" t="s">
        <v>39</v>
      </c>
      <c r="L39" s="115" t="s">
        <v>84</v>
      </c>
      <c r="M39" s="595" t="s">
        <v>58</v>
      </c>
    </row>
    <row r="40" spans="1:13" s="111" customFormat="1" ht="15" customHeight="1">
      <c r="A40" s="1111" t="s">
        <v>51</v>
      </c>
      <c r="B40" s="1112"/>
      <c r="C40" s="307"/>
      <c r="D40" s="305"/>
      <c r="E40" s="305"/>
      <c r="F40" s="305"/>
      <c r="G40" s="305"/>
      <c r="H40" s="305"/>
      <c r="I40" s="335"/>
      <c r="J40" s="305"/>
      <c r="K40" s="305"/>
      <c r="L40" s="198"/>
      <c r="M40" s="338">
        <v>477.84</v>
      </c>
    </row>
    <row r="41" spans="1:14" s="215" customFormat="1" ht="15" customHeight="1">
      <c r="A41" s="1035" t="s">
        <v>328</v>
      </c>
      <c r="B41" s="1035"/>
      <c r="C41" s="318"/>
      <c r="D41" s="104">
        <v>0</v>
      </c>
      <c r="E41" s="104">
        <v>0</v>
      </c>
      <c r="F41" s="104">
        <v>0</v>
      </c>
      <c r="G41" s="104"/>
      <c r="H41" s="104">
        <v>0</v>
      </c>
      <c r="I41" s="319"/>
      <c r="J41" s="207"/>
      <c r="K41" s="207"/>
      <c r="L41" s="214"/>
      <c r="M41" s="204">
        <f>SUM(M40:M40)</f>
        <v>477.84</v>
      </c>
      <c r="N41" s="343"/>
    </row>
    <row r="42" spans="1:15" s="208" customFormat="1" ht="15" customHeight="1">
      <c r="A42" s="1128" t="s">
        <v>227</v>
      </c>
      <c r="B42" s="1128"/>
      <c r="C42" s="131"/>
      <c r="D42" s="131">
        <v>3</v>
      </c>
      <c r="E42" s="131">
        <v>3</v>
      </c>
      <c r="F42" s="131">
        <v>0</v>
      </c>
      <c r="G42" s="131">
        <v>3</v>
      </c>
      <c r="H42" s="131">
        <v>0</v>
      </c>
      <c r="I42" s="131"/>
      <c r="J42" s="131"/>
      <c r="K42" s="131"/>
      <c r="L42" s="454"/>
      <c r="M42" s="201">
        <f>M41+M37+M33+M28+M24+M20+M16+M12+M6</f>
        <v>5650.089999999999</v>
      </c>
      <c r="O42" s="344"/>
    </row>
    <row r="43" spans="1:13" s="4" customFormat="1" ht="15" customHeight="1">
      <c r="A43" s="1027" t="s">
        <v>362</v>
      </c>
      <c r="B43" s="1027"/>
      <c r="C43" s="313"/>
      <c r="D43" s="365"/>
      <c r="E43" s="314"/>
      <c r="F43" s="314"/>
      <c r="G43" s="314"/>
      <c r="H43" s="314"/>
      <c r="I43" s="315"/>
      <c r="J43" s="314"/>
      <c r="K43" s="314"/>
      <c r="L43" s="199"/>
      <c r="M43" s="103"/>
    </row>
    <row r="44" spans="1:14" s="317" customFormat="1" ht="15" customHeight="1">
      <c r="A44" s="1111" t="s">
        <v>51</v>
      </c>
      <c r="B44" s="1112"/>
      <c r="C44" s="347"/>
      <c r="D44" s="1"/>
      <c r="E44" s="345"/>
      <c r="F44" s="345"/>
      <c r="G44" s="345"/>
      <c r="H44" s="345"/>
      <c r="I44" s="345"/>
      <c r="J44" s="345"/>
      <c r="K44" s="345"/>
      <c r="L44" s="345"/>
      <c r="M44" s="338">
        <v>18.36</v>
      </c>
      <c r="N44" s="342"/>
    </row>
    <row r="45" spans="1:15" s="208" customFormat="1" ht="15" customHeight="1">
      <c r="A45" s="1128" t="s">
        <v>94</v>
      </c>
      <c r="B45" s="1128"/>
      <c r="C45" s="131"/>
      <c r="D45" s="131"/>
      <c r="E45" s="302"/>
      <c r="F45" s="131"/>
      <c r="G45" s="131"/>
      <c r="H45" s="131"/>
      <c r="I45" s="131"/>
      <c r="J45" s="131"/>
      <c r="K45" s="131"/>
      <c r="L45" s="454"/>
      <c r="M45" s="201">
        <f>M44+M42</f>
        <v>5668.449999999999</v>
      </c>
      <c r="O45" s="344"/>
    </row>
    <row r="46" spans="10:12" ht="12.75">
      <c r="J46" s="292"/>
      <c r="K46" s="292"/>
      <c r="L46" s="278"/>
    </row>
  </sheetData>
  <mergeCells count="33">
    <mergeCell ref="A42:B42"/>
    <mergeCell ref="A43:B43"/>
    <mergeCell ref="A45:B45"/>
    <mergeCell ref="A34:B34"/>
    <mergeCell ref="A37:B37"/>
    <mergeCell ref="A38:B38"/>
    <mergeCell ref="A41:B41"/>
    <mergeCell ref="A36:B36"/>
    <mergeCell ref="A40:B40"/>
    <mergeCell ref="A44:B44"/>
    <mergeCell ref="A25:B25"/>
    <mergeCell ref="A28:B28"/>
    <mergeCell ref="A29:B29"/>
    <mergeCell ref="A33:B33"/>
    <mergeCell ref="A27:B27"/>
    <mergeCell ref="A32:B32"/>
    <mergeCell ref="A20:B20"/>
    <mergeCell ref="A17:B17"/>
    <mergeCell ref="A21:B21"/>
    <mergeCell ref="A24:B24"/>
    <mergeCell ref="A19:B19"/>
    <mergeCell ref="A23:B23"/>
    <mergeCell ref="A7:B7"/>
    <mergeCell ref="A12:B12"/>
    <mergeCell ref="A13:B13"/>
    <mergeCell ref="A16:B16"/>
    <mergeCell ref="A11:B11"/>
    <mergeCell ref="A15:B15"/>
    <mergeCell ref="A2:M2"/>
    <mergeCell ref="A1:L1"/>
    <mergeCell ref="A3:B3"/>
    <mergeCell ref="A6:B6"/>
    <mergeCell ref="A5:B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O49"/>
  <sheetViews>
    <sheetView workbookViewId="0" topLeftCell="A1">
      <selection activeCell="A37" sqref="A37:C41"/>
    </sheetView>
  </sheetViews>
  <sheetFormatPr defaultColWidth="9.140625" defaultRowHeight="12.75"/>
  <cols>
    <col min="1" max="3" width="20.7109375" style="4" customWidth="1"/>
    <col min="4" max="4" width="7.57421875" style="3" customWidth="1"/>
    <col min="5" max="5" width="5.7109375" style="303" customWidth="1"/>
    <col min="6" max="6" width="5.7109375" style="3" customWidth="1"/>
    <col min="7" max="8" width="9.7109375" style="3" customWidth="1"/>
    <col min="9" max="10" width="13.7109375" style="3" customWidth="1"/>
    <col min="11" max="11" width="10.140625" style="3" customWidth="1"/>
    <col min="12" max="12" width="31.28125" style="9" customWidth="1"/>
    <col min="13" max="13" width="18.7109375" style="212" customWidth="1"/>
    <col min="14" max="14" width="16.8515625" style="9" customWidth="1"/>
    <col min="15" max="15" width="20.00390625" style="9" customWidth="1"/>
    <col min="16" max="16384" width="11.57421875" style="9" customWidth="1"/>
  </cols>
  <sheetData>
    <row r="1" spans="1:13" s="5" customFormat="1" ht="30" customHeight="1">
      <c r="A1" s="608" t="s">
        <v>26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589">
        <v>40070185</v>
      </c>
    </row>
    <row r="2" spans="1:13" s="6" customFormat="1" ht="45" customHeight="1">
      <c r="A2" s="1044" t="s">
        <v>415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125"/>
      <c r="M2" s="1125"/>
    </row>
    <row r="3" spans="1:13" s="6" customFormat="1" ht="15" customHeight="1">
      <c r="A3" s="1027" t="s">
        <v>66</v>
      </c>
      <c r="B3" s="1027"/>
      <c r="C3" s="87"/>
      <c r="D3" s="87"/>
      <c r="E3" s="300"/>
      <c r="F3" s="87"/>
      <c r="G3" s="87"/>
      <c r="H3" s="87"/>
      <c r="I3" s="87"/>
      <c r="J3" s="87"/>
      <c r="K3" s="87"/>
      <c r="L3" s="597"/>
      <c r="M3" s="211"/>
    </row>
    <row r="4" spans="1:13" s="6" customFormat="1" ht="48.75" customHeight="1">
      <c r="A4" s="39" t="s">
        <v>332</v>
      </c>
      <c r="B4" s="39" t="s">
        <v>333</v>
      </c>
      <c r="C4" s="39" t="s">
        <v>213</v>
      </c>
      <c r="D4" s="115" t="s">
        <v>36</v>
      </c>
      <c r="E4" s="115" t="s">
        <v>73</v>
      </c>
      <c r="F4" s="115" t="s">
        <v>74</v>
      </c>
      <c r="G4" s="115" t="s">
        <v>37</v>
      </c>
      <c r="H4" s="115" t="s">
        <v>38</v>
      </c>
      <c r="I4" s="115" t="s">
        <v>15</v>
      </c>
      <c r="J4" s="115" t="s">
        <v>214</v>
      </c>
      <c r="K4" s="115" t="s">
        <v>39</v>
      </c>
      <c r="L4" s="115" t="s">
        <v>105</v>
      </c>
      <c r="M4" s="595" t="s">
        <v>58</v>
      </c>
    </row>
    <row r="5" spans="1:13" s="6" customFormat="1" ht="15" customHeight="1">
      <c r="A5" s="1030" t="s">
        <v>75</v>
      </c>
      <c r="B5" s="1030"/>
      <c r="C5" s="337"/>
      <c r="D5" s="205">
        <v>0</v>
      </c>
      <c r="E5" s="205">
        <v>0</v>
      </c>
      <c r="F5" s="205">
        <v>0</v>
      </c>
      <c r="G5" s="205">
        <v>0</v>
      </c>
      <c r="H5" s="205">
        <v>0</v>
      </c>
      <c r="I5" s="205"/>
      <c r="J5" s="205"/>
      <c r="K5" s="205"/>
      <c r="L5" s="596"/>
      <c r="M5" s="204">
        <v>0</v>
      </c>
    </row>
    <row r="6" spans="1:13" s="4" customFormat="1" ht="15" customHeight="1">
      <c r="A6" s="1027" t="s">
        <v>64</v>
      </c>
      <c r="B6" s="1027"/>
      <c r="C6" s="87"/>
      <c r="D6" s="87"/>
      <c r="E6" s="300"/>
      <c r="F6" s="87"/>
      <c r="G6" s="87"/>
      <c r="H6" s="87"/>
      <c r="I6" s="87"/>
      <c r="J6" s="87"/>
      <c r="K6" s="87"/>
      <c r="L6" s="597"/>
      <c r="M6" s="211"/>
    </row>
    <row r="7" spans="1:13" s="50" customFormat="1" ht="48.75" customHeight="1">
      <c r="A7" s="39" t="s">
        <v>332</v>
      </c>
      <c r="B7" s="39" t="s">
        <v>333</v>
      </c>
      <c r="C7" s="39" t="s">
        <v>213</v>
      </c>
      <c r="D7" s="115" t="s">
        <v>36</v>
      </c>
      <c r="E7" s="115" t="s">
        <v>73</v>
      </c>
      <c r="F7" s="115" t="s">
        <v>74</v>
      </c>
      <c r="G7" s="115" t="s">
        <v>37</v>
      </c>
      <c r="H7" s="115" t="s">
        <v>38</v>
      </c>
      <c r="I7" s="115" t="s">
        <v>15</v>
      </c>
      <c r="J7" s="115" t="s">
        <v>214</v>
      </c>
      <c r="K7" s="115" t="s">
        <v>39</v>
      </c>
      <c r="L7" s="115" t="s">
        <v>105</v>
      </c>
      <c r="M7" s="595" t="s">
        <v>58</v>
      </c>
    </row>
    <row r="8" spans="1:13" s="111" customFormat="1" ht="15" customHeight="1">
      <c r="A8" s="794"/>
      <c r="B8" s="791"/>
      <c r="C8" s="790"/>
      <c r="D8" s="7">
        <v>1</v>
      </c>
      <c r="E8" s="22">
        <v>1</v>
      </c>
      <c r="F8" s="22"/>
      <c r="G8" s="22">
        <v>1</v>
      </c>
      <c r="H8" s="22"/>
      <c r="I8" s="22" t="s">
        <v>212</v>
      </c>
      <c r="J8" s="22" t="s">
        <v>212</v>
      </c>
      <c r="K8" s="22">
        <v>1997</v>
      </c>
      <c r="L8" s="1" t="s">
        <v>29</v>
      </c>
      <c r="M8" s="368">
        <v>600</v>
      </c>
    </row>
    <row r="9" spans="1:13" s="111" customFormat="1" ht="15" customHeight="1">
      <c r="A9" s="791"/>
      <c r="B9" s="791"/>
      <c r="C9" s="790"/>
      <c r="D9" s="7">
        <v>1</v>
      </c>
      <c r="E9" s="22">
        <v>1</v>
      </c>
      <c r="F9" s="22"/>
      <c r="G9" s="22">
        <v>1</v>
      </c>
      <c r="H9" s="22"/>
      <c r="I9" s="22" t="s">
        <v>212</v>
      </c>
      <c r="J9" s="22" t="s">
        <v>212</v>
      </c>
      <c r="K9" s="22">
        <v>1994</v>
      </c>
      <c r="L9" s="1" t="s">
        <v>30</v>
      </c>
      <c r="M9" s="1104">
        <v>310</v>
      </c>
    </row>
    <row r="10" spans="1:13" s="111" customFormat="1" ht="15" customHeight="1">
      <c r="A10" s="794"/>
      <c r="B10" s="794"/>
      <c r="C10" s="790"/>
      <c r="D10" s="7">
        <v>1</v>
      </c>
      <c r="E10" s="22">
        <v>1</v>
      </c>
      <c r="F10" s="1"/>
      <c r="G10" s="1">
        <v>1</v>
      </c>
      <c r="H10" s="1"/>
      <c r="I10" s="22" t="s">
        <v>212</v>
      </c>
      <c r="J10" s="22" t="s">
        <v>212</v>
      </c>
      <c r="K10" s="22">
        <v>1993</v>
      </c>
      <c r="L10" s="1" t="s">
        <v>30</v>
      </c>
      <c r="M10" s="1104"/>
    </row>
    <row r="11" spans="1:13" s="111" customFormat="1" ht="15" customHeight="1">
      <c r="A11" s="791"/>
      <c r="B11" s="791"/>
      <c r="C11" s="790"/>
      <c r="D11" s="7">
        <v>1</v>
      </c>
      <c r="E11" s="22">
        <v>1</v>
      </c>
      <c r="F11" s="22"/>
      <c r="G11" s="22"/>
      <c r="H11" s="22">
        <v>1</v>
      </c>
      <c r="I11" s="22" t="s">
        <v>497</v>
      </c>
      <c r="J11" s="22" t="s">
        <v>497</v>
      </c>
      <c r="K11" s="22">
        <v>1993</v>
      </c>
      <c r="L11" s="1" t="s">
        <v>28</v>
      </c>
      <c r="M11" s="1104">
        <v>2024</v>
      </c>
    </row>
    <row r="12" spans="1:13" s="278" customFormat="1" ht="15" customHeight="1">
      <c r="A12" s="791"/>
      <c r="B12" s="791"/>
      <c r="C12" s="790"/>
      <c r="D12" s="7">
        <v>1</v>
      </c>
      <c r="E12" s="22"/>
      <c r="F12" s="1">
        <v>1</v>
      </c>
      <c r="G12" s="1">
        <v>1</v>
      </c>
      <c r="H12" s="1"/>
      <c r="I12" s="22" t="s">
        <v>212</v>
      </c>
      <c r="J12" s="22" t="s">
        <v>212</v>
      </c>
      <c r="K12" s="22">
        <v>1995</v>
      </c>
      <c r="L12" s="1" t="s">
        <v>28</v>
      </c>
      <c r="M12" s="1104"/>
    </row>
    <row r="13" spans="1:13" s="278" customFormat="1" ht="15" customHeight="1">
      <c r="A13" s="791"/>
      <c r="B13" s="791"/>
      <c r="C13" s="790"/>
      <c r="D13" s="7">
        <v>1</v>
      </c>
      <c r="E13" s="22"/>
      <c r="F13" s="22">
        <v>1</v>
      </c>
      <c r="G13" s="22">
        <v>1</v>
      </c>
      <c r="H13" s="22"/>
      <c r="I13" s="22" t="s">
        <v>212</v>
      </c>
      <c r="J13" s="22" t="s">
        <v>212</v>
      </c>
      <c r="K13" s="22">
        <v>1993</v>
      </c>
      <c r="L13" s="1" t="s">
        <v>28</v>
      </c>
      <c r="M13" s="1104"/>
    </row>
    <row r="14" spans="1:13" s="278" customFormat="1" ht="15" customHeight="1">
      <c r="A14" s="791"/>
      <c r="B14" s="791"/>
      <c r="C14" s="790"/>
      <c r="D14" s="7">
        <v>1</v>
      </c>
      <c r="E14" s="22">
        <v>1</v>
      </c>
      <c r="F14" s="22"/>
      <c r="G14" s="22">
        <v>1</v>
      </c>
      <c r="H14" s="22"/>
      <c r="I14" s="22" t="s">
        <v>212</v>
      </c>
      <c r="J14" s="22" t="s">
        <v>212</v>
      </c>
      <c r="K14" s="22">
        <v>1996</v>
      </c>
      <c r="L14" s="1" t="s">
        <v>28</v>
      </c>
      <c r="M14" s="1104"/>
    </row>
    <row r="15" spans="1:13" s="111" customFormat="1" ht="15" customHeight="1">
      <c r="A15" s="791"/>
      <c r="B15" s="791"/>
      <c r="C15" s="790"/>
      <c r="D15" s="7">
        <v>1</v>
      </c>
      <c r="E15" s="22">
        <v>1</v>
      </c>
      <c r="F15" s="22"/>
      <c r="G15" s="22">
        <v>1</v>
      </c>
      <c r="H15" s="22"/>
      <c r="I15" s="22" t="s">
        <v>212</v>
      </c>
      <c r="J15" s="22" t="s">
        <v>212</v>
      </c>
      <c r="K15" s="22">
        <v>1993</v>
      </c>
      <c r="L15" s="1" t="s">
        <v>27</v>
      </c>
      <c r="M15" s="1104">
        <v>2780</v>
      </c>
    </row>
    <row r="16" spans="1:13" s="111" customFormat="1" ht="15" customHeight="1">
      <c r="A16" s="791"/>
      <c r="B16" s="791"/>
      <c r="C16" s="790"/>
      <c r="D16" s="7">
        <v>1</v>
      </c>
      <c r="E16" s="22"/>
      <c r="F16" s="22">
        <v>1</v>
      </c>
      <c r="G16" s="22"/>
      <c r="H16" s="22">
        <v>1</v>
      </c>
      <c r="I16" s="22" t="s">
        <v>212</v>
      </c>
      <c r="J16" s="22" t="s">
        <v>212</v>
      </c>
      <c r="K16" s="22">
        <v>1993</v>
      </c>
      <c r="L16" s="1" t="s">
        <v>27</v>
      </c>
      <c r="M16" s="1104"/>
    </row>
    <row r="17" spans="1:13" s="278" customFormat="1" ht="15" customHeight="1">
      <c r="A17" s="791"/>
      <c r="B17" s="791"/>
      <c r="C17" s="790"/>
      <c r="D17" s="7">
        <v>1</v>
      </c>
      <c r="E17" s="22"/>
      <c r="F17" s="22">
        <v>1</v>
      </c>
      <c r="G17" s="22">
        <v>1</v>
      </c>
      <c r="H17" s="22"/>
      <c r="I17" s="22" t="s">
        <v>212</v>
      </c>
      <c r="J17" s="22" t="s">
        <v>212</v>
      </c>
      <c r="K17" s="22">
        <v>1997</v>
      </c>
      <c r="L17" s="1" t="s">
        <v>27</v>
      </c>
      <c r="M17" s="1104"/>
    </row>
    <row r="18" spans="1:13" s="278" customFormat="1" ht="15" customHeight="1">
      <c r="A18" s="791"/>
      <c r="B18" s="794"/>
      <c r="C18" s="790"/>
      <c r="D18" s="7">
        <v>1</v>
      </c>
      <c r="E18" s="22"/>
      <c r="F18" s="1">
        <v>1</v>
      </c>
      <c r="G18" s="1"/>
      <c r="H18" s="1">
        <v>1</v>
      </c>
      <c r="I18" s="22" t="s">
        <v>212</v>
      </c>
      <c r="J18" s="15" t="s">
        <v>33</v>
      </c>
      <c r="K18" s="22">
        <v>1998</v>
      </c>
      <c r="L18" s="1" t="s">
        <v>27</v>
      </c>
      <c r="M18" s="1104"/>
    </row>
    <row r="19" spans="1:13" s="278" customFormat="1" ht="15" customHeight="1">
      <c r="A19" s="794"/>
      <c r="B19" s="794"/>
      <c r="C19" s="790"/>
      <c r="D19" s="7">
        <v>1</v>
      </c>
      <c r="E19" s="22"/>
      <c r="F19" s="1">
        <v>1</v>
      </c>
      <c r="G19" s="1"/>
      <c r="H19" s="1">
        <v>1</v>
      </c>
      <c r="I19" s="22" t="s">
        <v>212</v>
      </c>
      <c r="J19" s="22" t="s">
        <v>427</v>
      </c>
      <c r="K19" s="22">
        <v>1998</v>
      </c>
      <c r="L19" s="1" t="s">
        <v>27</v>
      </c>
      <c r="M19" s="1104"/>
    </row>
    <row r="20" spans="1:13" s="278" customFormat="1" ht="15" customHeight="1">
      <c r="A20" s="791"/>
      <c r="B20" s="791"/>
      <c r="C20" s="790"/>
      <c r="D20" s="7">
        <v>1</v>
      </c>
      <c r="E20" s="22"/>
      <c r="F20" s="22">
        <v>1</v>
      </c>
      <c r="G20" s="22">
        <v>1</v>
      </c>
      <c r="H20" s="22"/>
      <c r="I20" s="22" t="s">
        <v>212</v>
      </c>
      <c r="J20" s="15" t="s">
        <v>212</v>
      </c>
      <c r="K20" s="22">
        <v>1993</v>
      </c>
      <c r="L20" s="1" t="s">
        <v>27</v>
      </c>
      <c r="M20" s="1104"/>
    </row>
    <row r="21" spans="1:13" s="213" customFormat="1" ht="15" customHeight="1">
      <c r="A21" s="1030" t="s">
        <v>8</v>
      </c>
      <c r="B21" s="1030"/>
      <c r="C21" s="337"/>
      <c r="D21" s="205">
        <f>SUM(D8:D20)</f>
        <v>13</v>
      </c>
      <c r="E21" s="205">
        <f>SUM(E8:E20)</f>
        <v>6</v>
      </c>
      <c r="F21" s="205">
        <f>SUM(F8:F20)</f>
        <v>7</v>
      </c>
      <c r="G21" s="205">
        <f>SUM(G8:G20)</f>
        <v>9</v>
      </c>
      <c r="H21" s="205">
        <f>SUM(H8:H20)</f>
        <v>4</v>
      </c>
      <c r="I21" s="205"/>
      <c r="J21" s="205"/>
      <c r="K21" s="205"/>
      <c r="L21" s="596"/>
      <c r="M21" s="204">
        <f>SUM(M8:M20)</f>
        <v>5714</v>
      </c>
    </row>
    <row r="22" spans="1:13" s="213" customFormat="1" ht="15" customHeight="1">
      <c r="A22" s="1027" t="s">
        <v>67</v>
      </c>
      <c r="B22" s="1027"/>
      <c r="C22" s="87"/>
      <c r="D22" s="87"/>
      <c r="E22" s="300"/>
      <c r="F22" s="87"/>
      <c r="G22" s="87"/>
      <c r="H22" s="87"/>
      <c r="I22" s="87"/>
      <c r="J22" s="87"/>
      <c r="K22" s="87"/>
      <c r="L22" s="597"/>
      <c r="M22" s="211"/>
    </row>
    <row r="23" spans="1:13" s="213" customFormat="1" ht="15" customHeight="1">
      <c r="A23" s="39" t="s">
        <v>332</v>
      </c>
      <c r="B23" s="39" t="s">
        <v>333</v>
      </c>
      <c r="C23" s="39" t="s">
        <v>213</v>
      </c>
      <c r="D23" s="115" t="s">
        <v>36</v>
      </c>
      <c r="E23" s="115" t="s">
        <v>73</v>
      </c>
      <c r="F23" s="115" t="s">
        <v>74</v>
      </c>
      <c r="G23" s="115" t="s">
        <v>37</v>
      </c>
      <c r="H23" s="115" t="s">
        <v>38</v>
      </c>
      <c r="I23" s="115" t="s">
        <v>15</v>
      </c>
      <c r="J23" s="115" t="s">
        <v>214</v>
      </c>
      <c r="K23" s="115" t="s">
        <v>39</v>
      </c>
      <c r="L23" s="115" t="s">
        <v>105</v>
      </c>
      <c r="M23" s="595" t="s">
        <v>58</v>
      </c>
    </row>
    <row r="24" spans="1:13" s="213" customFormat="1" ht="15" customHeight="1">
      <c r="A24" s="1030" t="s">
        <v>95</v>
      </c>
      <c r="B24" s="1030"/>
      <c r="C24" s="337"/>
      <c r="D24" s="205">
        <v>0</v>
      </c>
      <c r="E24" s="205">
        <v>0</v>
      </c>
      <c r="F24" s="205">
        <v>0</v>
      </c>
      <c r="G24" s="205">
        <v>0</v>
      </c>
      <c r="H24" s="205">
        <v>0</v>
      </c>
      <c r="I24" s="205"/>
      <c r="J24" s="205"/>
      <c r="K24" s="205"/>
      <c r="L24" s="596"/>
      <c r="M24" s="204">
        <v>0</v>
      </c>
    </row>
    <row r="25" spans="1:13" s="213" customFormat="1" ht="15" customHeight="1">
      <c r="A25" s="1027" t="s">
        <v>68</v>
      </c>
      <c r="B25" s="1027"/>
      <c r="C25" s="87"/>
      <c r="D25" s="87"/>
      <c r="E25" s="300"/>
      <c r="F25" s="87"/>
      <c r="G25" s="87"/>
      <c r="H25" s="87"/>
      <c r="I25" s="87"/>
      <c r="J25" s="87"/>
      <c r="K25" s="87"/>
      <c r="L25" s="597"/>
      <c r="M25" s="211"/>
    </row>
    <row r="26" spans="1:13" s="213" customFormat="1" ht="15" customHeight="1">
      <c r="A26" s="39" t="s">
        <v>332</v>
      </c>
      <c r="B26" s="39" t="s">
        <v>333</v>
      </c>
      <c r="C26" s="39" t="s">
        <v>213</v>
      </c>
      <c r="D26" s="115" t="s">
        <v>36</v>
      </c>
      <c r="E26" s="115" t="s">
        <v>73</v>
      </c>
      <c r="F26" s="115" t="s">
        <v>74</v>
      </c>
      <c r="G26" s="115" t="s">
        <v>37</v>
      </c>
      <c r="H26" s="115" t="s">
        <v>38</v>
      </c>
      <c r="I26" s="115" t="s">
        <v>15</v>
      </c>
      <c r="J26" s="115" t="s">
        <v>214</v>
      </c>
      <c r="K26" s="115" t="s">
        <v>39</v>
      </c>
      <c r="L26" s="115" t="s">
        <v>105</v>
      </c>
      <c r="M26" s="595" t="s">
        <v>58</v>
      </c>
    </row>
    <row r="27" spans="1:13" s="213" customFormat="1" ht="15" customHeight="1">
      <c r="A27" s="1030" t="s">
        <v>478</v>
      </c>
      <c r="B27" s="1030"/>
      <c r="C27" s="337"/>
      <c r="D27" s="205">
        <v>0</v>
      </c>
      <c r="E27" s="205">
        <v>0</v>
      </c>
      <c r="F27" s="205">
        <v>0</v>
      </c>
      <c r="G27" s="205">
        <v>0</v>
      </c>
      <c r="H27" s="205">
        <v>0</v>
      </c>
      <c r="I27" s="205"/>
      <c r="J27" s="205"/>
      <c r="K27" s="205"/>
      <c r="L27" s="596"/>
      <c r="M27" s="204">
        <v>0</v>
      </c>
    </row>
    <row r="28" spans="1:13" s="213" customFormat="1" ht="15" customHeight="1">
      <c r="A28" s="1027" t="s">
        <v>65</v>
      </c>
      <c r="B28" s="1027"/>
      <c r="C28" s="87"/>
      <c r="D28" s="87"/>
      <c r="E28" s="300"/>
      <c r="F28" s="87"/>
      <c r="G28" s="87"/>
      <c r="H28" s="87"/>
      <c r="I28" s="87"/>
      <c r="J28" s="87"/>
      <c r="K28" s="87"/>
      <c r="L28" s="597"/>
      <c r="M28" s="211"/>
    </row>
    <row r="29" spans="1:13" s="213" customFormat="1" ht="15" customHeight="1">
      <c r="A29" s="39" t="s">
        <v>332</v>
      </c>
      <c r="B29" s="39" t="s">
        <v>333</v>
      </c>
      <c r="C29" s="39" t="s">
        <v>213</v>
      </c>
      <c r="D29" s="115" t="s">
        <v>36</v>
      </c>
      <c r="E29" s="115" t="s">
        <v>73</v>
      </c>
      <c r="F29" s="115" t="s">
        <v>74</v>
      </c>
      <c r="G29" s="115" t="s">
        <v>37</v>
      </c>
      <c r="H29" s="115" t="s">
        <v>38</v>
      </c>
      <c r="I29" s="115" t="s">
        <v>15</v>
      </c>
      <c r="J29" s="115" t="s">
        <v>214</v>
      </c>
      <c r="K29" s="115" t="s">
        <v>39</v>
      </c>
      <c r="L29" s="115" t="s">
        <v>105</v>
      </c>
      <c r="M29" s="595" t="s">
        <v>58</v>
      </c>
    </row>
    <row r="30" spans="1:13" s="213" customFormat="1" ht="15" customHeight="1">
      <c r="A30" s="1030" t="s">
        <v>340</v>
      </c>
      <c r="B30" s="1030"/>
      <c r="C30" s="337"/>
      <c r="D30" s="205">
        <v>0</v>
      </c>
      <c r="E30" s="205">
        <v>0</v>
      </c>
      <c r="F30" s="205">
        <v>0</v>
      </c>
      <c r="G30" s="205">
        <v>0</v>
      </c>
      <c r="H30" s="205">
        <v>0</v>
      </c>
      <c r="I30" s="205"/>
      <c r="J30" s="205"/>
      <c r="K30" s="205"/>
      <c r="L30" s="596"/>
      <c r="M30" s="204">
        <v>0</v>
      </c>
    </row>
    <row r="31" spans="1:13" s="4" customFormat="1" ht="15" customHeight="1">
      <c r="A31" s="1027" t="s">
        <v>69</v>
      </c>
      <c r="B31" s="1027"/>
      <c r="C31" s="87"/>
      <c r="D31" s="87"/>
      <c r="E31" s="300"/>
      <c r="F31" s="87"/>
      <c r="G31" s="87"/>
      <c r="H31" s="87"/>
      <c r="I31" s="87"/>
      <c r="J31" s="87"/>
      <c r="K31" s="87"/>
      <c r="L31" s="103"/>
      <c r="M31" s="211"/>
    </row>
    <row r="32" spans="1:13" s="50" customFormat="1" ht="57" customHeight="1">
      <c r="A32" s="39" t="s">
        <v>332</v>
      </c>
      <c r="B32" s="39" t="s">
        <v>333</v>
      </c>
      <c r="C32" s="39" t="s">
        <v>213</v>
      </c>
      <c r="D32" s="115" t="s">
        <v>36</v>
      </c>
      <c r="E32" s="115" t="s">
        <v>73</v>
      </c>
      <c r="F32" s="115" t="s">
        <v>74</v>
      </c>
      <c r="G32" s="115" t="s">
        <v>37</v>
      </c>
      <c r="H32" s="115" t="s">
        <v>38</v>
      </c>
      <c r="I32" s="115" t="s">
        <v>15</v>
      </c>
      <c r="J32" s="115" t="s">
        <v>214</v>
      </c>
      <c r="K32" s="115" t="s">
        <v>39</v>
      </c>
      <c r="L32" s="115" t="s">
        <v>105</v>
      </c>
      <c r="M32" s="595" t="s">
        <v>58</v>
      </c>
    </row>
    <row r="33" spans="1:13" s="278" customFormat="1" ht="15" customHeight="1">
      <c r="A33" s="789"/>
      <c r="B33" s="789"/>
      <c r="C33" s="835"/>
      <c r="D33" s="1">
        <v>1</v>
      </c>
      <c r="E33" s="22">
        <v>1</v>
      </c>
      <c r="F33" s="22"/>
      <c r="G33" s="1">
        <v>1</v>
      </c>
      <c r="H33" s="1"/>
      <c r="I33" s="409" t="s">
        <v>212</v>
      </c>
      <c r="J33" s="415" t="s">
        <v>212</v>
      </c>
      <c r="K33" s="22">
        <v>1997</v>
      </c>
      <c r="L33" s="1" t="s">
        <v>27</v>
      </c>
      <c r="M33" s="368">
        <v>1038</v>
      </c>
    </row>
    <row r="34" spans="1:13" s="213" customFormat="1" ht="15" customHeight="1">
      <c r="A34" s="1030" t="s">
        <v>13</v>
      </c>
      <c r="B34" s="1030"/>
      <c r="C34" s="202"/>
      <c r="D34" s="205">
        <f>SUM(D33)</f>
        <v>1</v>
      </c>
      <c r="E34" s="205">
        <f>SUM(E33)</f>
        <v>1</v>
      </c>
      <c r="F34" s="205"/>
      <c r="G34" s="205">
        <f>SUM(G33)</f>
        <v>1</v>
      </c>
      <c r="H34" s="205">
        <v>0</v>
      </c>
      <c r="I34" s="312"/>
      <c r="J34" s="207"/>
      <c r="K34" s="207"/>
      <c r="L34" s="203"/>
      <c r="M34" s="339">
        <f>SUM(M33)</f>
        <v>1038</v>
      </c>
    </row>
    <row r="35" spans="1:13" s="4" customFormat="1" ht="15" customHeight="1">
      <c r="A35" s="1027" t="s">
        <v>70</v>
      </c>
      <c r="B35" s="1027"/>
      <c r="C35" s="87"/>
      <c r="D35" s="365"/>
      <c r="E35" s="314"/>
      <c r="F35" s="314"/>
      <c r="G35" s="314"/>
      <c r="H35" s="314"/>
      <c r="I35" s="315"/>
      <c r="J35" s="314"/>
      <c r="K35" s="314"/>
      <c r="L35" s="199"/>
      <c r="M35" s="103"/>
    </row>
    <row r="36" spans="1:13" s="50" customFormat="1" ht="57" customHeight="1">
      <c r="A36" s="39" t="s">
        <v>332</v>
      </c>
      <c r="B36" s="39" t="s">
        <v>333</v>
      </c>
      <c r="C36" s="39" t="s">
        <v>213</v>
      </c>
      <c r="D36" s="115" t="s">
        <v>36</v>
      </c>
      <c r="E36" s="115" t="s">
        <v>73</v>
      </c>
      <c r="F36" s="115" t="s">
        <v>74</v>
      </c>
      <c r="G36" s="115" t="s">
        <v>37</v>
      </c>
      <c r="H36" s="115" t="s">
        <v>38</v>
      </c>
      <c r="I36" s="115" t="s">
        <v>15</v>
      </c>
      <c r="J36" s="115" t="s">
        <v>214</v>
      </c>
      <c r="K36" s="115" t="s">
        <v>39</v>
      </c>
      <c r="L36" s="115" t="s">
        <v>105</v>
      </c>
      <c r="M36" s="595" t="s">
        <v>58</v>
      </c>
    </row>
    <row r="37" spans="1:13" s="111" customFormat="1" ht="15" customHeight="1">
      <c r="A37" s="791"/>
      <c r="B37" s="791"/>
      <c r="C37" s="792"/>
      <c r="D37" s="1">
        <v>1</v>
      </c>
      <c r="E37" s="22"/>
      <c r="F37" s="77">
        <v>1</v>
      </c>
      <c r="G37" s="77"/>
      <c r="H37" s="22">
        <v>1</v>
      </c>
      <c r="I37" s="222" t="s">
        <v>31</v>
      </c>
      <c r="J37" s="222" t="s">
        <v>31</v>
      </c>
      <c r="K37" s="78">
        <v>1997</v>
      </c>
      <c r="L37" s="1" t="s">
        <v>28</v>
      </c>
      <c r="M37" s="368">
        <v>200</v>
      </c>
    </row>
    <row r="38" spans="1:13" s="111" customFormat="1" ht="15" customHeight="1">
      <c r="A38" s="791"/>
      <c r="B38" s="791"/>
      <c r="C38" s="792"/>
      <c r="D38" s="1">
        <v>1</v>
      </c>
      <c r="E38" s="22">
        <v>1</v>
      </c>
      <c r="F38" s="77"/>
      <c r="G38" s="77">
        <v>1</v>
      </c>
      <c r="H38" s="22"/>
      <c r="I38" s="22" t="s">
        <v>212</v>
      </c>
      <c r="J38" s="222" t="s">
        <v>212</v>
      </c>
      <c r="K38" s="75">
        <v>1995</v>
      </c>
      <c r="L38" s="1" t="s">
        <v>282</v>
      </c>
      <c r="M38" s="368">
        <v>1181.02</v>
      </c>
    </row>
    <row r="39" spans="1:13" s="111" customFormat="1" ht="15" customHeight="1">
      <c r="A39" s="794"/>
      <c r="B39" s="791"/>
      <c r="C39" s="792"/>
      <c r="D39" s="1">
        <v>1</v>
      </c>
      <c r="E39" s="22"/>
      <c r="F39" s="77">
        <v>1</v>
      </c>
      <c r="G39" s="77">
        <v>1</v>
      </c>
      <c r="H39" s="22"/>
      <c r="I39" s="22" t="s">
        <v>212</v>
      </c>
      <c r="J39" s="222" t="s">
        <v>212</v>
      </c>
      <c r="K39" s="75">
        <v>1994</v>
      </c>
      <c r="L39" s="1" t="s">
        <v>355</v>
      </c>
      <c r="M39" s="368">
        <v>756</v>
      </c>
    </row>
    <row r="40" spans="1:13" s="111" customFormat="1" ht="15" customHeight="1">
      <c r="A40" s="791"/>
      <c r="B40" s="791"/>
      <c r="C40" s="792"/>
      <c r="D40" s="1">
        <v>1</v>
      </c>
      <c r="E40" s="22">
        <v>1</v>
      </c>
      <c r="F40" s="77"/>
      <c r="G40" s="77">
        <v>1</v>
      </c>
      <c r="H40" s="22"/>
      <c r="I40" s="22" t="s">
        <v>212</v>
      </c>
      <c r="J40" s="22" t="s">
        <v>212</v>
      </c>
      <c r="K40" s="78">
        <v>1994</v>
      </c>
      <c r="L40" s="1" t="s">
        <v>27</v>
      </c>
      <c r="M40" s="368">
        <v>2064</v>
      </c>
    </row>
    <row r="41" spans="1:13" s="111" customFormat="1" ht="15" customHeight="1">
      <c r="A41" s="791"/>
      <c r="B41" s="791"/>
      <c r="C41" s="792"/>
      <c r="D41" s="1">
        <v>1</v>
      </c>
      <c r="E41" s="22"/>
      <c r="F41" s="77">
        <v>1</v>
      </c>
      <c r="G41" s="77">
        <v>1</v>
      </c>
      <c r="H41" s="22"/>
      <c r="I41" s="22" t="s">
        <v>114</v>
      </c>
      <c r="J41" s="22" t="s">
        <v>212</v>
      </c>
      <c r="K41" s="78">
        <v>1992</v>
      </c>
      <c r="L41" s="1" t="s">
        <v>283</v>
      </c>
      <c r="M41" s="368">
        <v>882</v>
      </c>
    </row>
    <row r="42" spans="1:14" s="215" customFormat="1" ht="15" customHeight="1">
      <c r="A42" s="1035" t="s">
        <v>341</v>
      </c>
      <c r="B42" s="1035"/>
      <c r="C42" s="362"/>
      <c r="D42" s="104">
        <f>SUM(D37:D41)</f>
        <v>5</v>
      </c>
      <c r="E42" s="104">
        <f>SUM(E37:E41)</f>
        <v>2</v>
      </c>
      <c r="F42" s="104">
        <f>SUM(F37:F41)</f>
        <v>3</v>
      </c>
      <c r="G42" s="104">
        <f>SUM(G37:G41)</f>
        <v>4</v>
      </c>
      <c r="H42" s="104">
        <f>SUM(H37:H41)</f>
        <v>1</v>
      </c>
      <c r="I42" s="319"/>
      <c r="J42" s="207"/>
      <c r="K42" s="207"/>
      <c r="L42" s="214"/>
      <c r="M42" s="204">
        <f>SUM(M37:M41)</f>
        <v>5083.02</v>
      </c>
      <c r="N42" s="343"/>
    </row>
    <row r="43" spans="1:14" s="215" customFormat="1" ht="15" customHeight="1">
      <c r="A43" s="1027" t="s">
        <v>71</v>
      </c>
      <c r="B43" s="1027"/>
      <c r="C43" s="87"/>
      <c r="D43" s="87"/>
      <c r="E43" s="300"/>
      <c r="F43" s="87"/>
      <c r="G43" s="87"/>
      <c r="H43" s="87"/>
      <c r="I43" s="87"/>
      <c r="J43" s="87"/>
      <c r="K43" s="87"/>
      <c r="L43" s="597"/>
      <c r="M43" s="211"/>
      <c r="N43" s="343"/>
    </row>
    <row r="44" spans="1:14" s="215" customFormat="1" ht="15" customHeight="1">
      <c r="A44" s="39" t="s">
        <v>332</v>
      </c>
      <c r="B44" s="39" t="s">
        <v>333</v>
      </c>
      <c r="C44" s="39" t="s">
        <v>213</v>
      </c>
      <c r="D44" s="115" t="s">
        <v>36</v>
      </c>
      <c r="E44" s="115" t="s">
        <v>73</v>
      </c>
      <c r="F44" s="115" t="s">
        <v>74</v>
      </c>
      <c r="G44" s="115" t="s">
        <v>37</v>
      </c>
      <c r="H44" s="115" t="s">
        <v>38</v>
      </c>
      <c r="I44" s="115" t="s">
        <v>15</v>
      </c>
      <c r="J44" s="115" t="s">
        <v>214</v>
      </c>
      <c r="K44" s="115" t="s">
        <v>39</v>
      </c>
      <c r="L44" s="115" t="s">
        <v>105</v>
      </c>
      <c r="M44" s="595" t="s">
        <v>58</v>
      </c>
      <c r="N44" s="343"/>
    </row>
    <row r="45" spans="1:14" s="215" customFormat="1" ht="15" customHeight="1">
      <c r="A45" s="1030" t="s">
        <v>22</v>
      </c>
      <c r="B45" s="1030"/>
      <c r="C45" s="337"/>
      <c r="D45" s="205">
        <v>0</v>
      </c>
      <c r="E45" s="205">
        <v>0</v>
      </c>
      <c r="F45" s="205">
        <v>0</v>
      </c>
      <c r="G45" s="205">
        <v>0</v>
      </c>
      <c r="H45" s="205">
        <v>0</v>
      </c>
      <c r="I45" s="205"/>
      <c r="J45" s="205"/>
      <c r="K45" s="205"/>
      <c r="L45" s="596"/>
      <c r="M45" s="204">
        <v>0</v>
      </c>
      <c r="N45" s="343"/>
    </row>
    <row r="46" spans="1:14" s="215" customFormat="1" ht="15" customHeight="1">
      <c r="A46" s="1027" t="s">
        <v>513</v>
      </c>
      <c r="B46" s="1027"/>
      <c r="C46" s="87"/>
      <c r="D46" s="87"/>
      <c r="E46" s="300"/>
      <c r="F46" s="87"/>
      <c r="G46" s="87"/>
      <c r="H46" s="87"/>
      <c r="I46" s="87"/>
      <c r="J46" s="87"/>
      <c r="K46" s="87"/>
      <c r="L46" s="597"/>
      <c r="M46" s="211"/>
      <c r="N46" s="343"/>
    </row>
    <row r="47" spans="1:14" s="215" customFormat="1" ht="15" customHeight="1">
      <c r="A47" s="39" t="s">
        <v>332</v>
      </c>
      <c r="B47" s="39" t="s">
        <v>333</v>
      </c>
      <c r="C47" s="39" t="s">
        <v>213</v>
      </c>
      <c r="D47" s="115" t="s">
        <v>36</v>
      </c>
      <c r="E47" s="115" t="s">
        <v>73</v>
      </c>
      <c r="F47" s="115" t="s">
        <v>74</v>
      </c>
      <c r="G47" s="115" t="s">
        <v>37</v>
      </c>
      <c r="H47" s="115" t="s">
        <v>38</v>
      </c>
      <c r="I47" s="115" t="s">
        <v>15</v>
      </c>
      <c r="J47" s="115" t="s">
        <v>214</v>
      </c>
      <c r="K47" s="115" t="s">
        <v>39</v>
      </c>
      <c r="L47" s="115" t="s">
        <v>105</v>
      </c>
      <c r="M47" s="595" t="s">
        <v>58</v>
      </c>
      <c r="N47" s="343"/>
    </row>
    <row r="48" spans="1:14" s="215" customFormat="1" ht="15" customHeight="1">
      <c r="A48" s="1030" t="s">
        <v>328</v>
      </c>
      <c r="B48" s="1030"/>
      <c r="C48" s="337"/>
      <c r="D48" s="205">
        <v>0</v>
      </c>
      <c r="E48" s="205">
        <v>0</v>
      </c>
      <c r="F48" s="205">
        <v>0</v>
      </c>
      <c r="G48" s="205">
        <v>0</v>
      </c>
      <c r="H48" s="205">
        <v>0</v>
      </c>
      <c r="I48" s="205"/>
      <c r="J48" s="205"/>
      <c r="K48" s="205"/>
      <c r="L48" s="596"/>
      <c r="M48" s="204">
        <v>0</v>
      </c>
      <c r="N48" s="343"/>
    </row>
    <row r="49" spans="1:15" s="208" customFormat="1" ht="15" customHeight="1">
      <c r="A49" s="1128" t="s">
        <v>468</v>
      </c>
      <c r="B49" s="1128"/>
      <c r="C49" s="131"/>
      <c r="D49" s="131">
        <f>D42+D34+D21</f>
        <v>19</v>
      </c>
      <c r="E49" s="131">
        <f>E42+E34+E21</f>
        <v>9</v>
      </c>
      <c r="F49" s="131">
        <f>F42+F34+F21</f>
        <v>10</v>
      </c>
      <c r="G49" s="131">
        <f>G42+G34+G21</f>
        <v>14</v>
      </c>
      <c r="H49" s="131">
        <f>H42+H34+H21</f>
        <v>5</v>
      </c>
      <c r="I49" s="131"/>
      <c r="J49" s="131"/>
      <c r="K49" s="131"/>
      <c r="L49" s="454"/>
      <c r="M49" s="201">
        <f>M42+M34+M21</f>
        <v>11835.02</v>
      </c>
      <c r="O49" s="344"/>
    </row>
  </sheetData>
  <mergeCells count="23">
    <mergeCell ref="A28:B28"/>
    <mergeCell ref="A30:B30"/>
    <mergeCell ref="A43:B43"/>
    <mergeCell ref="A45:B45"/>
    <mergeCell ref="A35:B35"/>
    <mergeCell ref="A42:B42"/>
    <mergeCell ref="A49:B49"/>
    <mergeCell ref="A21:B21"/>
    <mergeCell ref="A31:B31"/>
    <mergeCell ref="A34:B34"/>
    <mergeCell ref="A22:B22"/>
    <mergeCell ref="A24:B24"/>
    <mergeCell ref="A25:B25"/>
    <mergeCell ref="A27:B27"/>
    <mergeCell ref="A46:B46"/>
    <mergeCell ref="A48:B48"/>
    <mergeCell ref="M15:M20"/>
    <mergeCell ref="A2:M2"/>
    <mergeCell ref="M11:M14"/>
    <mergeCell ref="M9:M10"/>
    <mergeCell ref="A6:B6"/>
    <mergeCell ref="A3:B3"/>
    <mergeCell ref="A5:B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O43"/>
  <sheetViews>
    <sheetView workbookViewId="0" topLeftCell="A22">
      <selection activeCell="A38" sqref="A38:C40"/>
    </sheetView>
  </sheetViews>
  <sheetFormatPr defaultColWidth="9.140625" defaultRowHeight="12.75"/>
  <cols>
    <col min="1" max="3" width="20.7109375" style="4" customWidth="1"/>
    <col min="4" max="4" width="7.57421875" style="3" customWidth="1"/>
    <col min="5" max="5" width="5.7109375" style="303" customWidth="1"/>
    <col min="6" max="6" width="5.7109375" style="3" customWidth="1"/>
    <col min="7" max="8" width="9.7109375" style="3" customWidth="1"/>
    <col min="9" max="9" width="13.7109375" style="3" customWidth="1"/>
    <col min="10" max="10" width="15.421875" style="3" customWidth="1"/>
    <col min="11" max="11" width="10.140625" style="3" customWidth="1"/>
    <col min="12" max="12" width="24.7109375" style="9" customWidth="1"/>
    <col min="13" max="13" width="24.7109375" style="212" customWidth="1"/>
    <col min="14" max="14" width="16.8515625" style="9" customWidth="1"/>
    <col min="15" max="15" width="20.00390625" style="9" customWidth="1"/>
    <col min="16" max="16384" width="11.57421875" style="9" customWidth="1"/>
  </cols>
  <sheetData>
    <row r="1" spans="1:13" s="5" customFormat="1" ht="30" customHeight="1">
      <c r="A1" s="1123" t="s">
        <v>356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589">
        <v>40070178</v>
      </c>
    </row>
    <row r="2" spans="1:13" s="6" customFormat="1" ht="31.5" customHeight="1">
      <c r="A2" s="1044" t="s">
        <v>284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125"/>
      <c r="M2" s="1125"/>
    </row>
    <row r="3" spans="1:13" s="6" customFormat="1" ht="15" customHeight="1">
      <c r="A3" s="1047" t="s">
        <v>66</v>
      </c>
      <c r="B3" s="1047"/>
      <c r="C3" s="87"/>
      <c r="D3" s="87"/>
      <c r="E3" s="300"/>
      <c r="F3" s="87"/>
      <c r="G3" s="87"/>
      <c r="H3" s="87"/>
      <c r="I3" s="87"/>
      <c r="J3" s="87"/>
      <c r="K3" s="87"/>
      <c r="L3" s="597"/>
      <c r="M3" s="211"/>
    </row>
    <row r="4" spans="1:13" s="6" customFormat="1" ht="48.75" customHeight="1">
      <c r="A4" s="39" t="s">
        <v>332</v>
      </c>
      <c r="B4" s="39" t="s">
        <v>333</v>
      </c>
      <c r="C4" s="39" t="s">
        <v>213</v>
      </c>
      <c r="D4" s="115" t="s">
        <v>36</v>
      </c>
      <c r="E4" s="115" t="s">
        <v>73</v>
      </c>
      <c r="F4" s="115" t="s">
        <v>74</v>
      </c>
      <c r="G4" s="115" t="s">
        <v>37</v>
      </c>
      <c r="H4" s="115" t="s">
        <v>38</v>
      </c>
      <c r="I4" s="115" t="s">
        <v>15</v>
      </c>
      <c r="J4" s="115" t="s">
        <v>214</v>
      </c>
      <c r="K4" s="115" t="s">
        <v>39</v>
      </c>
      <c r="L4" s="115" t="s">
        <v>357</v>
      </c>
      <c r="M4" s="595" t="s">
        <v>58</v>
      </c>
    </row>
    <row r="5" spans="1:13" s="6" customFormat="1" ht="15" customHeight="1">
      <c r="A5" s="1036" t="s">
        <v>75</v>
      </c>
      <c r="B5" s="1036"/>
      <c r="C5" s="205"/>
      <c r="D5" s="205">
        <f>SUM(D3:D4)</f>
        <v>0</v>
      </c>
      <c r="E5" s="205">
        <f>SUM(E3:E4)</f>
        <v>0</v>
      </c>
      <c r="F5" s="205">
        <v>0</v>
      </c>
      <c r="G5" s="205">
        <f>SUM(G3:G4)</f>
        <v>0</v>
      </c>
      <c r="H5" s="205">
        <v>0</v>
      </c>
      <c r="I5" s="205"/>
      <c r="J5" s="205"/>
      <c r="K5" s="205"/>
      <c r="L5" s="596"/>
      <c r="M5" s="204">
        <f>SUM(M3:M4)</f>
        <v>0</v>
      </c>
    </row>
    <row r="6" spans="1:13" s="6" customFormat="1" ht="15" customHeight="1">
      <c r="A6" s="1047" t="s">
        <v>64</v>
      </c>
      <c r="B6" s="1047"/>
      <c r="C6" s="87"/>
      <c r="D6" s="87"/>
      <c r="E6" s="300"/>
      <c r="F6" s="87"/>
      <c r="G6" s="87"/>
      <c r="H6" s="87"/>
      <c r="I6" s="87"/>
      <c r="J6" s="87"/>
      <c r="K6" s="87"/>
      <c r="L6" s="597"/>
      <c r="M6" s="211"/>
    </row>
    <row r="7" spans="1:13" s="6" customFormat="1" ht="48.75" customHeight="1">
      <c r="A7" s="39" t="s">
        <v>332</v>
      </c>
      <c r="B7" s="39" t="s">
        <v>333</v>
      </c>
      <c r="C7" s="39" t="s">
        <v>213</v>
      </c>
      <c r="D7" s="115" t="s">
        <v>36</v>
      </c>
      <c r="E7" s="115" t="s">
        <v>73</v>
      </c>
      <c r="F7" s="115" t="s">
        <v>74</v>
      </c>
      <c r="G7" s="115" t="s">
        <v>37</v>
      </c>
      <c r="H7" s="115" t="s">
        <v>38</v>
      </c>
      <c r="I7" s="115" t="s">
        <v>15</v>
      </c>
      <c r="J7" s="115" t="s">
        <v>214</v>
      </c>
      <c r="K7" s="115" t="s">
        <v>39</v>
      </c>
      <c r="L7" s="115" t="s">
        <v>357</v>
      </c>
      <c r="M7" s="595" t="s">
        <v>58</v>
      </c>
    </row>
    <row r="8" spans="1:13" s="6" customFormat="1" ht="15" customHeight="1">
      <c r="A8" s="1036" t="s">
        <v>8</v>
      </c>
      <c r="B8" s="1036"/>
      <c r="C8" s="205"/>
      <c r="D8" s="205">
        <f>SUM(D6:D7)</f>
        <v>0</v>
      </c>
      <c r="E8" s="205">
        <f>SUM(E6:E7)</f>
        <v>0</v>
      </c>
      <c r="F8" s="205">
        <v>0</v>
      </c>
      <c r="G8" s="205">
        <f>SUM(G6:G7)</f>
        <v>0</v>
      </c>
      <c r="H8" s="205">
        <v>0</v>
      </c>
      <c r="I8" s="205"/>
      <c r="J8" s="205"/>
      <c r="K8" s="205"/>
      <c r="L8" s="596"/>
      <c r="M8" s="204">
        <f>SUM(M6:M7)</f>
        <v>0</v>
      </c>
    </row>
    <row r="9" spans="1:13" s="6" customFormat="1" ht="15" customHeight="1">
      <c r="A9" s="1047" t="s">
        <v>67</v>
      </c>
      <c r="B9" s="1047"/>
      <c r="C9" s="87"/>
      <c r="D9" s="87"/>
      <c r="E9" s="300"/>
      <c r="F9" s="87"/>
      <c r="G9" s="87"/>
      <c r="H9" s="87"/>
      <c r="I9" s="87"/>
      <c r="J9" s="87"/>
      <c r="K9" s="87"/>
      <c r="L9" s="597"/>
      <c r="M9" s="211"/>
    </row>
    <row r="10" spans="1:13" s="6" customFormat="1" ht="48.75" customHeight="1">
      <c r="A10" s="39" t="s">
        <v>332</v>
      </c>
      <c r="B10" s="39" t="s">
        <v>333</v>
      </c>
      <c r="C10" s="39" t="s">
        <v>213</v>
      </c>
      <c r="D10" s="115" t="s">
        <v>36</v>
      </c>
      <c r="E10" s="115" t="s">
        <v>73</v>
      </c>
      <c r="F10" s="115" t="s">
        <v>74</v>
      </c>
      <c r="G10" s="115" t="s">
        <v>37</v>
      </c>
      <c r="H10" s="115" t="s">
        <v>38</v>
      </c>
      <c r="I10" s="115" t="s">
        <v>15</v>
      </c>
      <c r="J10" s="115" t="s">
        <v>214</v>
      </c>
      <c r="K10" s="115" t="s">
        <v>39</v>
      </c>
      <c r="L10" s="115" t="s">
        <v>357</v>
      </c>
      <c r="M10" s="595" t="s">
        <v>58</v>
      </c>
    </row>
    <row r="11" spans="1:13" s="6" customFormat="1" ht="15" customHeight="1">
      <c r="A11" s="1036" t="s">
        <v>95</v>
      </c>
      <c r="B11" s="1036"/>
      <c r="C11" s="205"/>
      <c r="D11" s="205">
        <f>SUM(D9:D10)</f>
        <v>0</v>
      </c>
      <c r="E11" s="205">
        <f>SUM(E9:E10)</f>
        <v>0</v>
      </c>
      <c r="F11" s="205">
        <v>0</v>
      </c>
      <c r="G11" s="205">
        <f>SUM(G9:G10)</f>
        <v>0</v>
      </c>
      <c r="H11" s="205">
        <v>0</v>
      </c>
      <c r="I11" s="205"/>
      <c r="J11" s="205"/>
      <c r="K11" s="205"/>
      <c r="L11" s="596"/>
      <c r="M11" s="204">
        <f>SUM(M9:M10)</f>
        <v>0</v>
      </c>
    </row>
    <row r="12" spans="1:13" s="6" customFormat="1" ht="15" customHeight="1">
      <c r="A12" s="1047" t="s">
        <v>68</v>
      </c>
      <c r="B12" s="1047"/>
      <c r="C12" s="87"/>
      <c r="D12" s="87"/>
      <c r="E12" s="300"/>
      <c r="F12" s="87"/>
      <c r="G12" s="87"/>
      <c r="H12" s="87"/>
      <c r="I12" s="87"/>
      <c r="J12" s="87"/>
      <c r="K12" s="87"/>
      <c r="L12" s="597"/>
      <c r="M12" s="211"/>
    </row>
    <row r="13" spans="1:13" s="6" customFormat="1" ht="48.75" customHeight="1">
      <c r="A13" s="39" t="s">
        <v>332</v>
      </c>
      <c r="B13" s="39" t="s">
        <v>333</v>
      </c>
      <c r="C13" s="39" t="s">
        <v>213</v>
      </c>
      <c r="D13" s="115" t="s">
        <v>36</v>
      </c>
      <c r="E13" s="115" t="s">
        <v>73</v>
      </c>
      <c r="F13" s="115" t="s">
        <v>74</v>
      </c>
      <c r="G13" s="115" t="s">
        <v>37</v>
      </c>
      <c r="H13" s="115" t="s">
        <v>38</v>
      </c>
      <c r="I13" s="115" t="s">
        <v>15</v>
      </c>
      <c r="J13" s="115" t="s">
        <v>214</v>
      </c>
      <c r="K13" s="115" t="s">
        <v>39</v>
      </c>
      <c r="L13" s="115" t="s">
        <v>357</v>
      </c>
      <c r="M13" s="595" t="s">
        <v>58</v>
      </c>
    </row>
    <row r="14" spans="1:13" s="6" customFormat="1" ht="15" customHeight="1">
      <c r="A14" s="1036" t="s">
        <v>478</v>
      </c>
      <c r="B14" s="1036"/>
      <c r="C14" s="205"/>
      <c r="D14" s="205">
        <f>SUM(D12:D13)</f>
        <v>0</v>
      </c>
      <c r="E14" s="205">
        <f>SUM(E12:E13)</f>
        <v>0</v>
      </c>
      <c r="F14" s="205">
        <v>0</v>
      </c>
      <c r="G14" s="205">
        <f>SUM(G12:G13)</f>
        <v>0</v>
      </c>
      <c r="H14" s="205">
        <v>0</v>
      </c>
      <c r="I14" s="205"/>
      <c r="J14" s="205"/>
      <c r="K14" s="205"/>
      <c r="L14" s="596"/>
      <c r="M14" s="204">
        <f>SUM(M12:M13)</f>
        <v>0</v>
      </c>
    </row>
    <row r="15" spans="1:13" s="4" customFormat="1" ht="15" customHeight="1">
      <c r="A15" s="1047" t="s">
        <v>65</v>
      </c>
      <c r="B15" s="1047"/>
      <c r="C15" s="87"/>
      <c r="D15" s="87"/>
      <c r="E15" s="300"/>
      <c r="F15" s="87"/>
      <c r="G15" s="87"/>
      <c r="H15" s="87"/>
      <c r="I15" s="87"/>
      <c r="J15" s="87"/>
      <c r="K15" s="87"/>
      <c r="L15" s="597"/>
      <c r="M15" s="211"/>
    </row>
    <row r="16" spans="1:13" s="50" customFormat="1" ht="57" customHeight="1">
      <c r="A16" s="39" t="s">
        <v>332</v>
      </c>
      <c r="B16" s="39" t="s">
        <v>333</v>
      </c>
      <c r="C16" s="39" t="s">
        <v>213</v>
      </c>
      <c r="D16" s="115" t="s">
        <v>36</v>
      </c>
      <c r="E16" s="115" t="s">
        <v>73</v>
      </c>
      <c r="F16" s="115" t="s">
        <v>74</v>
      </c>
      <c r="G16" s="115" t="s">
        <v>37</v>
      </c>
      <c r="H16" s="115" t="s">
        <v>38</v>
      </c>
      <c r="I16" s="115" t="s">
        <v>15</v>
      </c>
      <c r="J16" s="115" t="s">
        <v>214</v>
      </c>
      <c r="K16" s="115" t="s">
        <v>39</v>
      </c>
      <c r="L16" s="115" t="s">
        <v>357</v>
      </c>
      <c r="M16" s="595" t="s">
        <v>58</v>
      </c>
    </row>
    <row r="17" spans="1:13" s="111" customFormat="1" ht="15" customHeight="1">
      <c r="A17" s="791"/>
      <c r="B17" s="791"/>
      <c r="C17" s="792"/>
      <c r="D17" s="1">
        <v>1</v>
      </c>
      <c r="E17" s="22">
        <v>1</v>
      </c>
      <c r="F17" s="77"/>
      <c r="G17" s="77">
        <v>1</v>
      </c>
      <c r="H17" s="22"/>
      <c r="I17" s="22" t="s">
        <v>212</v>
      </c>
      <c r="J17" s="1" t="s">
        <v>212</v>
      </c>
      <c r="K17" s="75">
        <v>1996</v>
      </c>
      <c r="L17" s="198" t="s">
        <v>275</v>
      </c>
      <c r="M17" s="368">
        <v>270.8</v>
      </c>
    </row>
    <row r="18" spans="1:13" s="111" customFormat="1" ht="15" customHeight="1">
      <c r="A18" s="1111" t="s">
        <v>51</v>
      </c>
      <c r="B18" s="1112"/>
      <c r="C18" s="415"/>
      <c r="D18" s="7"/>
      <c r="E18" s="409"/>
      <c r="F18" s="326"/>
      <c r="G18" s="409"/>
      <c r="H18" s="326"/>
      <c r="I18" s="409"/>
      <c r="J18" s="415"/>
      <c r="K18" s="409"/>
      <c r="L18" s="198" t="s">
        <v>275</v>
      </c>
      <c r="M18" s="368">
        <f>233-M17</f>
        <v>-37.80000000000001</v>
      </c>
    </row>
    <row r="19" spans="1:13" s="213" customFormat="1" ht="15" customHeight="1">
      <c r="A19" s="1036" t="s">
        <v>340</v>
      </c>
      <c r="B19" s="1036"/>
      <c r="C19" s="205"/>
      <c r="D19" s="205">
        <f>SUM(D17:D18)</f>
        <v>1</v>
      </c>
      <c r="E19" s="205">
        <f>SUM(E17:E18)</f>
        <v>1</v>
      </c>
      <c r="F19" s="205">
        <v>0</v>
      </c>
      <c r="G19" s="205">
        <f>SUM(G17:G18)</f>
        <v>1</v>
      </c>
      <c r="H19" s="205">
        <v>0</v>
      </c>
      <c r="I19" s="205"/>
      <c r="J19" s="205"/>
      <c r="K19" s="205"/>
      <c r="L19" s="596"/>
      <c r="M19" s="204">
        <f>SUM(M17:M18)</f>
        <v>233</v>
      </c>
    </row>
    <row r="20" spans="1:13" s="213" customFormat="1" ht="15" customHeight="1">
      <c r="A20" s="1047" t="s">
        <v>69</v>
      </c>
      <c r="B20" s="1047"/>
      <c r="C20" s="87"/>
      <c r="D20" s="87"/>
      <c r="E20" s="300"/>
      <c r="F20" s="87"/>
      <c r="G20" s="87"/>
      <c r="H20" s="87"/>
      <c r="I20" s="87"/>
      <c r="J20" s="87"/>
      <c r="K20" s="87"/>
      <c r="L20" s="597"/>
      <c r="M20" s="211"/>
    </row>
    <row r="21" spans="1:13" s="213" customFormat="1" ht="48.75" customHeight="1">
      <c r="A21" s="39" t="s">
        <v>332</v>
      </c>
      <c r="B21" s="39" t="s">
        <v>333</v>
      </c>
      <c r="C21" s="39" t="s">
        <v>213</v>
      </c>
      <c r="D21" s="115" t="s">
        <v>36</v>
      </c>
      <c r="E21" s="115" t="s">
        <v>73</v>
      </c>
      <c r="F21" s="115" t="s">
        <v>74</v>
      </c>
      <c r="G21" s="115" t="s">
        <v>37</v>
      </c>
      <c r="H21" s="115" t="s">
        <v>38</v>
      </c>
      <c r="I21" s="115" t="s">
        <v>15</v>
      </c>
      <c r="J21" s="115" t="s">
        <v>214</v>
      </c>
      <c r="K21" s="115" t="s">
        <v>39</v>
      </c>
      <c r="L21" s="115" t="s">
        <v>357</v>
      </c>
      <c r="M21" s="595" t="s">
        <v>58</v>
      </c>
    </row>
    <row r="22" spans="1:13" s="213" customFormat="1" ht="15" customHeight="1">
      <c r="A22" s="1036" t="s">
        <v>13</v>
      </c>
      <c r="B22" s="1036"/>
      <c r="C22" s="205"/>
      <c r="D22" s="205">
        <f>SUM(D20:D21)</f>
        <v>0</v>
      </c>
      <c r="E22" s="205">
        <f>SUM(E20:E21)</f>
        <v>0</v>
      </c>
      <c r="F22" s="205">
        <v>0</v>
      </c>
      <c r="G22" s="205">
        <f>SUM(G20:G21)</f>
        <v>0</v>
      </c>
      <c r="H22" s="205">
        <v>0</v>
      </c>
      <c r="I22" s="205"/>
      <c r="J22" s="205"/>
      <c r="K22" s="205"/>
      <c r="L22" s="596"/>
      <c r="M22" s="204">
        <f>SUM(M20:M21)</f>
        <v>0</v>
      </c>
    </row>
    <row r="23" spans="1:13" s="4" customFormat="1" ht="15" customHeight="1">
      <c r="A23" s="1027" t="s">
        <v>70</v>
      </c>
      <c r="B23" s="1027"/>
      <c r="C23" s="87"/>
      <c r="D23" s="365"/>
      <c r="E23" s="314"/>
      <c r="F23" s="314"/>
      <c r="G23" s="314"/>
      <c r="H23" s="314"/>
      <c r="I23" s="315"/>
      <c r="J23" s="314"/>
      <c r="K23" s="314"/>
      <c r="L23" s="199"/>
      <c r="M23" s="103"/>
    </row>
    <row r="24" spans="1:13" s="50" customFormat="1" ht="57" customHeight="1">
      <c r="A24" s="39" t="s">
        <v>332</v>
      </c>
      <c r="B24" s="39" t="s">
        <v>333</v>
      </c>
      <c r="C24" s="39" t="s">
        <v>213</v>
      </c>
      <c r="D24" s="115" t="s">
        <v>36</v>
      </c>
      <c r="E24" s="115" t="s">
        <v>73</v>
      </c>
      <c r="F24" s="115" t="s">
        <v>74</v>
      </c>
      <c r="G24" s="115" t="s">
        <v>37</v>
      </c>
      <c r="H24" s="115" t="s">
        <v>38</v>
      </c>
      <c r="I24" s="115" t="s">
        <v>15</v>
      </c>
      <c r="J24" s="115" t="s">
        <v>214</v>
      </c>
      <c r="K24" s="115" t="s">
        <v>39</v>
      </c>
      <c r="L24" s="115" t="s">
        <v>357</v>
      </c>
      <c r="M24" s="595" t="s">
        <v>58</v>
      </c>
    </row>
    <row r="25" spans="1:13" s="111" customFormat="1" ht="15" customHeight="1">
      <c r="A25" s="791"/>
      <c r="B25" s="791"/>
      <c r="C25" s="792"/>
      <c r="D25" s="1">
        <v>1</v>
      </c>
      <c r="E25" s="22">
        <v>1</v>
      </c>
      <c r="F25" s="77"/>
      <c r="G25" s="77">
        <v>1</v>
      </c>
      <c r="H25" s="22"/>
      <c r="I25" s="22" t="s">
        <v>212</v>
      </c>
      <c r="J25" s="222" t="s">
        <v>212</v>
      </c>
      <c r="K25" s="75">
        <v>1993</v>
      </c>
      <c r="L25" s="1106" t="s">
        <v>177</v>
      </c>
      <c r="M25" s="1104">
        <v>10108.82</v>
      </c>
    </row>
    <row r="26" spans="1:13" s="111" customFormat="1" ht="15" customHeight="1">
      <c r="A26" s="791"/>
      <c r="B26" s="791"/>
      <c r="C26" s="792"/>
      <c r="D26" s="1">
        <v>1</v>
      </c>
      <c r="E26" s="22"/>
      <c r="F26" s="77">
        <v>1</v>
      </c>
      <c r="G26" s="77">
        <v>1</v>
      </c>
      <c r="H26" s="22"/>
      <c r="I26" s="22" t="s">
        <v>212</v>
      </c>
      <c r="J26" s="22" t="s">
        <v>212</v>
      </c>
      <c r="K26" s="78">
        <v>1996</v>
      </c>
      <c r="L26" s="1106"/>
      <c r="M26" s="1104"/>
    </row>
    <row r="27" spans="1:13" s="111" customFormat="1" ht="15" customHeight="1">
      <c r="A27" s="791"/>
      <c r="B27" s="791"/>
      <c r="C27" s="792"/>
      <c r="D27" s="1">
        <v>1</v>
      </c>
      <c r="E27" s="22"/>
      <c r="F27" s="77">
        <v>1</v>
      </c>
      <c r="G27" s="77">
        <v>1</v>
      </c>
      <c r="H27" s="22"/>
      <c r="I27" s="22" t="s">
        <v>212</v>
      </c>
      <c r="J27" s="22" t="s">
        <v>212</v>
      </c>
      <c r="K27" s="78">
        <v>1993</v>
      </c>
      <c r="L27" s="1106"/>
      <c r="M27" s="1104"/>
    </row>
    <row r="28" spans="1:13" s="111" customFormat="1" ht="15" customHeight="1">
      <c r="A28" s="794"/>
      <c r="B28" s="794"/>
      <c r="C28" s="792"/>
      <c r="D28" s="1">
        <v>1</v>
      </c>
      <c r="E28" s="22">
        <v>1</v>
      </c>
      <c r="F28" s="77"/>
      <c r="G28" s="77">
        <v>1</v>
      </c>
      <c r="H28" s="22"/>
      <c r="I28" s="22" t="s">
        <v>212</v>
      </c>
      <c r="J28" s="22" t="s">
        <v>212</v>
      </c>
      <c r="K28" s="78">
        <v>1992</v>
      </c>
      <c r="L28" s="1106"/>
      <c r="M28" s="1104"/>
    </row>
    <row r="29" spans="1:13" s="111" customFormat="1" ht="15" customHeight="1">
      <c r="A29" s="791"/>
      <c r="B29" s="791"/>
      <c r="C29" s="792"/>
      <c r="D29" s="1">
        <v>1</v>
      </c>
      <c r="E29" s="22"/>
      <c r="F29" s="77">
        <v>1</v>
      </c>
      <c r="G29" s="77">
        <v>1</v>
      </c>
      <c r="H29" s="22"/>
      <c r="I29" s="222" t="s">
        <v>212</v>
      </c>
      <c r="J29" s="694" t="s">
        <v>112</v>
      </c>
      <c r="K29" s="78">
        <v>1998</v>
      </c>
      <c r="L29" s="1131" t="s">
        <v>178</v>
      </c>
      <c r="M29" s="1104">
        <v>1247</v>
      </c>
    </row>
    <row r="30" spans="1:13" s="111" customFormat="1" ht="15" customHeight="1">
      <c r="A30" s="791"/>
      <c r="B30" s="791"/>
      <c r="C30" s="792"/>
      <c r="D30" s="1">
        <v>1</v>
      </c>
      <c r="E30" s="22"/>
      <c r="F30" s="77">
        <v>1</v>
      </c>
      <c r="G30" s="77">
        <v>1</v>
      </c>
      <c r="H30" s="22"/>
      <c r="I30" s="22" t="s">
        <v>212</v>
      </c>
      <c r="J30" s="22" t="s">
        <v>212</v>
      </c>
      <c r="K30" s="78">
        <v>2005</v>
      </c>
      <c r="L30" s="1132"/>
      <c r="M30" s="1104"/>
    </row>
    <row r="31" spans="1:13" s="111" customFormat="1" ht="15" customHeight="1">
      <c r="A31" s="791"/>
      <c r="B31" s="791"/>
      <c r="C31" s="792"/>
      <c r="D31" s="1">
        <v>1</v>
      </c>
      <c r="E31" s="22">
        <v>1</v>
      </c>
      <c r="F31" s="77"/>
      <c r="G31" s="77">
        <v>1</v>
      </c>
      <c r="H31" s="22"/>
      <c r="I31" s="22" t="s">
        <v>212</v>
      </c>
      <c r="J31" s="222" t="s">
        <v>212</v>
      </c>
      <c r="K31" s="78">
        <v>1999</v>
      </c>
      <c r="L31" s="1133"/>
      <c r="M31" s="1104"/>
    </row>
    <row r="32" spans="1:14" s="215" customFormat="1" ht="15" customHeight="1">
      <c r="A32" s="1035" t="s">
        <v>341</v>
      </c>
      <c r="B32" s="1035"/>
      <c r="C32" s="362"/>
      <c r="D32" s="104">
        <f>SUM(D25:D31)</f>
        <v>7</v>
      </c>
      <c r="E32" s="104">
        <f>SUM(E25:E31)</f>
        <v>3</v>
      </c>
      <c r="F32" s="104">
        <f>SUM(F25:F31)</f>
        <v>4</v>
      </c>
      <c r="G32" s="104">
        <f>SUM(G25:G31)</f>
        <v>7</v>
      </c>
      <c r="H32" s="104">
        <f>SUM(H31:H31)</f>
        <v>0</v>
      </c>
      <c r="I32" s="319"/>
      <c r="J32" s="207"/>
      <c r="K32" s="207"/>
      <c r="L32" s="214"/>
      <c r="M32" s="204">
        <f>SUM(M25:M31)</f>
        <v>11355.82</v>
      </c>
      <c r="N32" s="343"/>
    </row>
    <row r="33" spans="1:14" s="215" customFormat="1" ht="15" customHeight="1">
      <c r="A33" s="1047" t="s">
        <v>71</v>
      </c>
      <c r="B33" s="1047"/>
      <c r="C33" s="87"/>
      <c r="D33" s="87"/>
      <c r="E33" s="300"/>
      <c r="F33" s="87"/>
      <c r="G33" s="87"/>
      <c r="H33" s="87"/>
      <c r="I33" s="87"/>
      <c r="J33" s="87"/>
      <c r="K33" s="87"/>
      <c r="L33" s="597"/>
      <c r="M33" s="211"/>
      <c r="N33" s="343"/>
    </row>
    <row r="34" spans="1:14" s="215" customFormat="1" ht="48.75" customHeight="1">
      <c r="A34" s="39" t="s">
        <v>332</v>
      </c>
      <c r="B34" s="39" t="s">
        <v>333</v>
      </c>
      <c r="C34" s="39" t="s">
        <v>213</v>
      </c>
      <c r="D34" s="115" t="s">
        <v>36</v>
      </c>
      <c r="E34" s="115" t="s">
        <v>73</v>
      </c>
      <c r="F34" s="115" t="s">
        <v>74</v>
      </c>
      <c r="G34" s="115" t="s">
        <v>37</v>
      </c>
      <c r="H34" s="115" t="s">
        <v>38</v>
      </c>
      <c r="I34" s="115" t="s">
        <v>15</v>
      </c>
      <c r="J34" s="115" t="s">
        <v>214</v>
      </c>
      <c r="K34" s="115" t="s">
        <v>39</v>
      </c>
      <c r="L34" s="115" t="s">
        <v>357</v>
      </c>
      <c r="M34" s="595" t="s">
        <v>58</v>
      </c>
      <c r="N34" s="343"/>
    </row>
    <row r="35" spans="1:14" s="215" customFormat="1" ht="15" customHeight="1">
      <c r="A35" s="1036" t="s">
        <v>22</v>
      </c>
      <c r="B35" s="1036"/>
      <c r="C35" s="205"/>
      <c r="D35" s="205">
        <f>SUM(D33:D34)</f>
        <v>0</v>
      </c>
      <c r="E35" s="205">
        <f>SUM(E33:E34)</f>
        <v>0</v>
      </c>
      <c r="F35" s="205">
        <v>0</v>
      </c>
      <c r="G35" s="205">
        <f>SUM(G33:G34)</f>
        <v>0</v>
      </c>
      <c r="H35" s="205">
        <v>0</v>
      </c>
      <c r="I35" s="205"/>
      <c r="J35" s="205"/>
      <c r="K35" s="205"/>
      <c r="L35" s="596"/>
      <c r="M35" s="204">
        <f>SUM(M33:M34)</f>
        <v>0</v>
      </c>
      <c r="N35" s="343"/>
    </row>
    <row r="36" spans="1:13" s="4" customFormat="1" ht="15" customHeight="1">
      <c r="A36" s="1027" t="s">
        <v>72</v>
      </c>
      <c r="B36" s="1027"/>
      <c r="C36" s="87"/>
      <c r="D36" s="365"/>
      <c r="E36" s="314"/>
      <c r="F36" s="314"/>
      <c r="G36" s="314"/>
      <c r="H36" s="314"/>
      <c r="I36" s="315"/>
      <c r="J36" s="314"/>
      <c r="K36" s="314"/>
      <c r="L36" s="199"/>
      <c r="M36" s="103"/>
    </row>
    <row r="37" spans="1:13" s="4" customFormat="1" ht="48.75" customHeight="1">
      <c r="A37" s="39" t="s">
        <v>332</v>
      </c>
      <c r="B37" s="39" t="s">
        <v>333</v>
      </c>
      <c r="C37" s="39" t="s">
        <v>213</v>
      </c>
      <c r="D37" s="115" t="s">
        <v>36</v>
      </c>
      <c r="E37" s="115" t="s">
        <v>73</v>
      </c>
      <c r="F37" s="115" t="s">
        <v>74</v>
      </c>
      <c r="G37" s="115" t="s">
        <v>37</v>
      </c>
      <c r="H37" s="115" t="s">
        <v>38</v>
      </c>
      <c r="I37" s="115" t="s">
        <v>15</v>
      </c>
      <c r="J37" s="115" t="s">
        <v>214</v>
      </c>
      <c r="K37" s="115" t="s">
        <v>39</v>
      </c>
      <c r="L37" s="115" t="s">
        <v>357</v>
      </c>
      <c r="M37" s="595" t="s">
        <v>58</v>
      </c>
    </row>
    <row r="38" spans="1:13" s="4" customFormat="1" ht="15" customHeight="1">
      <c r="A38" s="791"/>
      <c r="B38" s="791"/>
      <c r="C38" s="792"/>
      <c r="D38" s="1">
        <v>1</v>
      </c>
      <c r="E38" s="22">
        <v>1</v>
      </c>
      <c r="F38" s="22"/>
      <c r="G38" s="22">
        <v>1</v>
      </c>
      <c r="H38" s="22"/>
      <c r="I38" s="22" t="s">
        <v>212</v>
      </c>
      <c r="J38" s="222" t="s">
        <v>422</v>
      </c>
      <c r="K38" s="15">
        <v>1996</v>
      </c>
      <c r="L38" s="1100" t="s">
        <v>276</v>
      </c>
      <c r="M38" s="1104">
        <f>1348.42+1715.76+1343.94+1393.22+1863.6+1975.59+743.65+188.16+12099.36</f>
        <v>22671.7</v>
      </c>
    </row>
    <row r="39" spans="1:13" s="4" customFormat="1" ht="15" customHeight="1">
      <c r="A39" s="794"/>
      <c r="B39" s="795"/>
      <c r="C39" s="792"/>
      <c r="D39" s="1">
        <v>1</v>
      </c>
      <c r="E39" s="22">
        <v>1</v>
      </c>
      <c r="F39" s="305"/>
      <c r="G39" s="305"/>
      <c r="H39" s="22">
        <v>1</v>
      </c>
      <c r="I39" s="22" t="s">
        <v>212</v>
      </c>
      <c r="J39" s="305" t="s">
        <v>21</v>
      </c>
      <c r="K39" s="22">
        <v>1994</v>
      </c>
      <c r="L39" s="1100"/>
      <c r="M39" s="1104"/>
    </row>
    <row r="40" spans="1:13" s="4" customFormat="1" ht="15" customHeight="1">
      <c r="A40" s="799"/>
      <c r="B40" s="791"/>
      <c r="C40" s="792"/>
      <c r="D40" s="1">
        <v>1</v>
      </c>
      <c r="E40" s="22"/>
      <c r="F40" s="22">
        <v>1</v>
      </c>
      <c r="G40" s="22">
        <v>1</v>
      </c>
      <c r="H40" s="22"/>
      <c r="I40" s="222" t="s">
        <v>212</v>
      </c>
      <c r="J40" s="222" t="s">
        <v>212</v>
      </c>
      <c r="K40" s="15">
        <v>1999</v>
      </c>
      <c r="L40" s="1100"/>
      <c r="M40" s="1104"/>
    </row>
    <row r="41" spans="1:13" s="4" customFormat="1" ht="15" customHeight="1">
      <c r="A41" s="1111" t="s">
        <v>51</v>
      </c>
      <c r="B41" s="1112"/>
      <c r="C41" s="222"/>
      <c r="D41" s="1"/>
      <c r="E41" s="22"/>
      <c r="F41" s="22"/>
      <c r="G41" s="22"/>
      <c r="H41" s="22"/>
      <c r="I41" s="222"/>
      <c r="J41" s="222"/>
      <c r="K41" s="15"/>
      <c r="L41" s="198" t="s">
        <v>275</v>
      </c>
      <c r="M41" s="368">
        <f>3540.83*4-12099.36</f>
        <v>2063.959999999999</v>
      </c>
    </row>
    <row r="42" spans="1:14" s="215" customFormat="1" ht="15" customHeight="1">
      <c r="A42" s="1036" t="s">
        <v>328</v>
      </c>
      <c r="B42" s="1036"/>
      <c r="C42" s="362"/>
      <c r="D42" s="104">
        <f>SUM(D38:D40)</f>
        <v>3</v>
      </c>
      <c r="E42" s="104">
        <f>SUM(E38:E40)</f>
        <v>2</v>
      </c>
      <c r="F42" s="104">
        <f>SUM(F40)</f>
        <v>1</v>
      </c>
      <c r="G42" s="104">
        <f>SUM(G38:G40)</f>
        <v>2</v>
      </c>
      <c r="H42" s="104">
        <f>SUM(H38:H40)</f>
        <v>1</v>
      </c>
      <c r="I42" s="319"/>
      <c r="J42" s="207"/>
      <c r="K42" s="207"/>
      <c r="L42" s="214"/>
      <c r="M42" s="204">
        <f>SUM(M38:M41)</f>
        <v>24735.66</v>
      </c>
      <c r="N42" s="343"/>
    </row>
    <row r="43" spans="1:15" s="208" customFormat="1" ht="15" customHeight="1">
      <c r="A43" s="1128" t="s">
        <v>468</v>
      </c>
      <c r="B43" s="1128"/>
      <c r="C43" s="131"/>
      <c r="D43" s="131">
        <f>D32+D19+D42</f>
        <v>11</v>
      </c>
      <c r="E43" s="131">
        <f>E32+E19+E42</f>
        <v>6</v>
      </c>
      <c r="F43" s="131">
        <f>F32+F19+F42</f>
        <v>5</v>
      </c>
      <c r="G43" s="131">
        <f>G32+G19+G42</f>
        <v>10</v>
      </c>
      <c r="H43" s="131">
        <f>H32+H19+H42</f>
        <v>1</v>
      </c>
      <c r="I43" s="131"/>
      <c r="J43" s="131"/>
      <c r="K43" s="131"/>
      <c r="L43" s="454"/>
      <c r="M43" s="201">
        <f>M42+M32+M19</f>
        <v>36324.479999999996</v>
      </c>
      <c r="O43" s="344"/>
    </row>
  </sheetData>
  <mergeCells count="29">
    <mergeCell ref="A20:B20"/>
    <mergeCell ref="A22:B22"/>
    <mergeCell ref="A18:B18"/>
    <mergeCell ref="A12:B12"/>
    <mergeCell ref="A14:B14"/>
    <mergeCell ref="A6:B6"/>
    <mergeCell ref="A8:B8"/>
    <mergeCell ref="A3:B3"/>
    <mergeCell ref="A5:B5"/>
    <mergeCell ref="A9:B9"/>
    <mergeCell ref="A11:B11"/>
    <mergeCell ref="A43:B43"/>
    <mergeCell ref="A23:B23"/>
    <mergeCell ref="A32:B32"/>
    <mergeCell ref="A36:B36"/>
    <mergeCell ref="A42:B42"/>
    <mergeCell ref="A33:B33"/>
    <mergeCell ref="A35:B35"/>
    <mergeCell ref="A41:B41"/>
    <mergeCell ref="A1:L1"/>
    <mergeCell ref="A2:M2"/>
    <mergeCell ref="L38:L40"/>
    <mergeCell ref="M38:M40"/>
    <mergeCell ref="L25:L28"/>
    <mergeCell ref="M25:M28"/>
    <mergeCell ref="L29:L31"/>
    <mergeCell ref="M29:M31"/>
    <mergeCell ref="A15:B15"/>
    <mergeCell ref="A19:B1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7"/>
  </sheetPr>
  <dimension ref="A1:O59"/>
  <sheetViews>
    <sheetView workbookViewId="0" topLeftCell="A1">
      <selection activeCell="A57" sqref="A57:C57"/>
    </sheetView>
  </sheetViews>
  <sheetFormatPr defaultColWidth="9.140625" defaultRowHeight="12.75"/>
  <cols>
    <col min="1" max="3" width="20.7109375" style="559" customWidth="1"/>
    <col min="4" max="4" width="7.57421875" style="724" customWidth="1"/>
    <col min="5" max="5" width="5.7109375" style="725" customWidth="1"/>
    <col min="6" max="6" width="5.7109375" style="724" customWidth="1"/>
    <col min="7" max="8" width="9.7109375" style="724" customWidth="1"/>
    <col min="9" max="10" width="13.7109375" style="724" customWidth="1"/>
    <col min="11" max="11" width="10.140625" style="724" customWidth="1"/>
    <col min="12" max="12" width="30.7109375" style="665" customWidth="1"/>
    <col min="13" max="13" width="20.421875" style="685" customWidth="1"/>
    <col min="14" max="14" width="20.8515625" style="665" customWidth="1"/>
    <col min="15" max="15" width="20.00390625" style="665" customWidth="1"/>
    <col min="16" max="16384" width="11.57421875" style="665" customWidth="1"/>
  </cols>
  <sheetData>
    <row r="1" spans="1:13" s="628" customFormat="1" ht="30" customHeight="1">
      <c r="A1" s="1134" t="s">
        <v>359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627">
        <v>40070345</v>
      </c>
    </row>
    <row r="2" spans="1:13" s="779" customFormat="1" ht="30" customHeight="1">
      <c r="A2" s="1021" t="s">
        <v>285</v>
      </c>
      <c r="B2" s="1021"/>
      <c r="C2" s="1021"/>
      <c r="D2" s="1021"/>
      <c r="E2" s="1021"/>
      <c r="F2" s="1021"/>
      <c r="G2" s="1021"/>
      <c r="H2" s="1021"/>
      <c r="I2" s="1021"/>
      <c r="J2" s="1021"/>
      <c r="K2" s="1021"/>
      <c r="L2" s="1113"/>
      <c r="M2" s="1113"/>
    </row>
    <row r="3" spans="1:13" s="629" customFormat="1" ht="15" customHeight="1">
      <c r="A3" s="1140" t="s">
        <v>66</v>
      </c>
      <c r="B3" s="1140"/>
      <c r="C3" s="638"/>
      <c r="D3" s="638"/>
      <c r="E3" s="695"/>
      <c r="F3" s="638"/>
      <c r="G3" s="638"/>
      <c r="H3" s="638"/>
      <c r="I3" s="638"/>
      <c r="J3" s="638"/>
      <c r="K3" s="638"/>
      <c r="L3" s="696"/>
      <c r="M3" s="643"/>
    </row>
    <row r="4" spans="1:13" s="629" customFormat="1" ht="48.75" customHeight="1">
      <c r="A4" s="511" t="s">
        <v>332</v>
      </c>
      <c r="B4" s="511" t="s">
        <v>333</v>
      </c>
      <c r="C4" s="511" t="s">
        <v>213</v>
      </c>
      <c r="D4" s="512" t="s">
        <v>36</v>
      </c>
      <c r="E4" s="512" t="s">
        <v>73</v>
      </c>
      <c r="F4" s="512" t="s">
        <v>74</v>
      </c>
      <c r="G4" s="512" t="s">
        <v>37</v>
      </c>
      <c r="H4" s="512" t="s">
        <v>38</v>
      </c>
      <c r="I4" s="512" t="s">
        <v>15</v>
      </c>
      <c r="J4" s="512" t="s">
        <v>214</v>
      </c>
      <c r="K4" s="512" t="s">
        <v>39</v>
      </c>
      <c r="L4" s="512" t="s">
        <v>357</v>
      </c>
      <c r="M4" s="511" t="s">
        <v>58</v>
      </c>
    </row>
    <row r="5" spans="1:13" s="629" customFormat="1" ht="15" customHeight="1">
      <c r="A5" s="1138" t="s">
        <v>75</v>
      </c>
      <c r="B5" s="1138"/>
      <c r="C5" s="547"/>
      <c r="D5" s="547">
        <v>0</v>
      </c>
      <c r="E5" s="547">
        <v>0</v>
      </c>
      <c r="F5" s="547">
        <v>0</v>
      </c>
      <c r="G5" s="547">
        <v>0</v>
      </c>
      <c r="H5" s="547">
        <v>0</v>
      </c>
      <c r="I5" s="547"/>
      <c r="J5" s="547"/>
      <c r="K5" s="547"/>
      <c r="L5" s="697"/>
      <c r="M5" s="550">
        <v>0</v>
      </c>
    </row>
    <row r="6" spans="1:13" s="559" customFormat="1" ht="15" customHeight="1">
      <c r="A6" s="1140" t="s">
        <v>64</v>
      </c>
      <c r="B6" s="1140"/>
      <c r="C6" s="638"/>
      <c r="D6" s="638"/>
      <c r="E6" s="695"/>
      <c r="F6" s="638"/>
      <c r="G6" s="638"/>
      <c r="H6" s="638"/>
      <c r="I6" s="638"/>
      <c r="J6" s="638"/>
      <c r="K6" s="638"/>
      <c r="L6" s="696"/>
      <c r="M6" s="643"/>
    </row>
    <row r="7" spans="1:13" s="635" customFormat="1" ht="57" customHeight="1">
      <c r="A7" s="511" t="s">
        <v>332</v>
      </c>
      <c r="B7" s="511" t="s">
        <v>333</v>
      </c>
      <c r="C7" s="511" t="s">
        <v>213</v>
      </c>
      <c r="D7" s="512" t="s">
        <v>36</v>
      </c>
      <c r="E7" s="512" t="s">
        <v>73</v>
      </c>
      <c r="F7" s="512" t="s">
        <v>74</v>
      </c>
      <c r="G7" s="512" t="s">
        <v>37</v>
      </c>
      <c r="H7" s="512" t="s">
        <v>38</v>
      </c>
      <c r="I7" s="512" t="s">
        <v>15</v>
      </c>
      <c r="J7" s="512" t="s">
        <v>214</v>
      </c>
      <c r="K7" s="512" t="s">
        <v>39</v>
      </c>
      <c r="L7" s="512" t="s">
        <v>357</v>
      </c>
      <c r="M7" s="511" t="s">
        <v>58</v>
      </c>
    </row>
    <row r="8" spans="1:13" s="698" customFormat="1" ht="15" customHeight="1">
      <c r="A8" s="784"/>
      <c r="B8" s="784"/>
      <c r="C8" s="848"/>
      <c r="D8" s="580">
        <v>1</v>
      </c>
      <c r="E8" s="580"/>
      <c r="F8" s="580">
        <v>1</v>
      </c>
      <c r="G8" s="580">
        <v>1</v>
      </c>
      <c r="H8" s="580"/>
      <c r="I8" s="580" t="s">
        <v>212</v>
      </c>
      <c r="J8" s="584" t="s">
        <v>212</v>
      </c>
      <c r="K8" s="580">
        <v>1997</v>
      </c>
      <c r="L8" s="1136" t="s">
        <v>177</v>
      </c>
      <c r="M8" s="586">
        <v>8.47</v>
      </c>
    </row>
    <row r="9" spans="1:13" s="698" customFormat="1" ht="15" customHeight="1">
      <c r="A9" s="849"/>
      <c r="B9" s="784"/>
      <c r="C9" s="848"/>
      <c r="D9" s="580">
        <v>1</v>
      </c>
      <c r="E9" s="580">
        <v>1</v>
      </c>
      <c r="F9" s="580"/>
      <c r="G9" s="580"/>
      <c r="H9" s="580">
        <v>1</v>
      </c>
      <c r="I9" s="580" t="s">
        <v>212</v>
      </c>
      <c r="J9" s="580" t="s">
        <v>343</v>
      </c>
      <c r="K9" s="580">
        <v>2006</v>
      </c>
      <c r="L9" s="1136"/>
      <c r="M9" s="1137">
        <v>805.54</v>
      </c>
    </row>
    <row r="10" spans="1:13" s="698" customFormat="1" ht="15" customHeight="1">
      <c r="A10" s="849"/>
      <c r="B10" s="784"/>
      <c r="C10" s="848"/>
      <c r="D10" s="580">
        <v>1</v>
      </c>
      <c r="E10" s="580"/>
      <c r="F10" s="580">
        <v>1</v>
      </c>
      <c r="G10" s="580"/>
      <c r="H10" s="580">
        <v>1</v>
      </c>
      <c r="I10" s="580" t="s">
        <v>343</v>
      </c>
      <c r="J10" s="580"/>
      <c r="K10" s="580">
        <v>1983</v>
      </c>
      <c r="L10" s="1136"/>
      <c r="M10" s="1137"/>
    </row>
    <row r="11" spans="1:13" s="698" customFormat="1" ht="15" customHeight="1">
      <c r="A11" s="784"/>
      <c r="B11" s="784"/>
      <c r="C11" s="848"/>
      <c r="D11" s="562">
        <v>1</v>
      </c>
      <c r="E11" s="580"/>
      <c r="F11" s="580">
        <v>1</v>
      </c>
      <c r="G11" s="580"/>
      <c r="H11" s="580">
        <v>1</v>
      </c>
      <c r="I11" s="580" t="s">
        <v>212</v>
      </c>
      <c r="J11" s="562" t="s">
        <v>343</v>
      </c>
      <c r="K11" s="580">
        <v>2011</v>
      </c>
      <c r="L11" s="1136"/>
      <c r="M11" s="1137">
        <v>25.44</v>
      </c>
    </row>
    <row r="12" spans="1:13" s="698" customFormat="1" ht="15" customHeight="1">
      <c r="A12" s="849"/>
      <c r="B12" s="784"/>
      <c r="C12" s="848"/>
      <c r="D12" s="562">
        <v>1</v>
      </c>
      <c r="E12" s="580"/>
      <c r="F12" s="580">
        <v>1</v>
      </c>
      <c r="G12" s="580"/>
      <c r="H12" s="580">
        <v>1</v>
      </c>
      <c r="I12" s="580" t="s">
        <v>343</v>
      </c>
      <c r="J12" s="562"/>
      <c r="K12" s="580">
        <v>1989</v>
      </c>
      <c r="L12" s="1136"/>
      <c r="M12" s="1137"/>
    </row>
    <row r="13" spans="1:13" s="698" customFormat="1" ht="15" customHeight="1">
      <c r="A13" s="784"/>
      <c r="B13" s="850"/>
      <c r="C13" s="848"/>
      <c r="D13" s="580">
        <v>1</v>
      </c>
      <c r="E13" s="580">
        <v>1</v>
      </c>
      <c r="F13" s="580"/>
      <c r="G13" s="580"/>
      <c r="H13" s="580">
        <v>1</v>
      </c>
      <c r="I13" s="580" t="s">
        <v>212</v>
      </c>
      <c r="J13" s="580" t="s">
        <v>500</v>
      </c>
      <c r="K13" s="580">
        <v>1994</v>
      </c>
      <c r="L13" s="1136"/>
      <c r="M13" s="586">
        <v>102.96</v>
      </c>
    </row>
    <row r="14" spans="1:13" s="699" customFormat="1" ht="15" customHeight="1">
      <c r="A14" s="1138" t="s">
        <v>8</v>
      </c>
      <c r="B14" s="1138"/>
      <c r="C14" s="547"/>
      <c r="D14" s="547">
        <f>SUM(D8:D13)</f>
        <v>6</v>
      </c>
      <c r="E14" s="547">
        <f>SUM(E8:E13)</f>
        <v>2</v>
      </c>
      <c r="F14" s="547">
        <f>SUM(F8:F13)</f>
        <v>4</v>
      </c>
      <c r="G14" s="547">
        <f>SUM(G8:G13)</f>
        <v>1</v>
      </c>
      <c r="H14" s="547">
        <f>SUM(H9:H13)</f>
        <v>5</v>
      </c>
      <c r="I14" s="547"/>
      <c r="J14" s="547"/>
      <c r="K14" s="547"/>
      <c r="L14" s="697"/>
      <c r="M14" s="550">
        <f>SUM(M8:M13)</f>
        <v>942.4100000000001</v>
      </c>
    </row>
    <row r="15" spans="1:13" s="699" customFormat="1" ht="15" customHeight="1">
      <c r="A15" s="1140" t="s">
        <v>67</v>
      </c>
      <c r="B15" s="1140"/>
      <c r="C15" s="638"/>
      <c r="D15" s="638"/>
      <c r="E15" s="695"/>
      <c r="F15" s="638"/>
      <c r="G15" s="638"/>
      <c r="H15" s="638"/>
      <c r="I15" s="638"/>
      <c r="J15" s="638"/>
      <c r="K15" s="638"/>
      <c r="L15" s="696"/>
      <c r="M15" s="643"/>
    </row>
    <row r="16" spans="1:13" s="699" customFormat="1" ht="48.75" customHeight="1">
      <c r="A16" s="511" t="s">
        <v>332</v>
      </c>
      <c r="B16" s="511" t="s">
        <v>333</v>
      </c>
      <c r="C16" s="511" t="s">
        <v>213</v>
      </c>
      <c r="D16" s="512" t="s">
        <v>36</v>
      </c>
      <c r="E16" s="512" t="s">
        <v>73</v>
      </c>
      <c r="F16" s="512" t="s">
        <v>74</v>
      </c>
      <c r="G16" s="512" t="s">
        <v>37</v>
      </c>
      <c r="H16" s="512" t="s">
        <v>38</v>
      </c>
      <c r="I16" s="512" t="s">
        <v>15</v>
      </c>
      <c r="J16" s="512" t="s">
        <v>214</v>
      </c>
      <c r="K16" s="512" t="s">
        <v>39</v>
      </c>
      <c r="L16" s="512" t="s">
        <v>357</v>
      </c>
      <c r="M16" s="511" t="s">
        <v>58</v>
      </c>
    </row>
    <row r="17" spans="1:13" s="699" customFormat="1" ht="15" customHeight="1">
      <c r="A17" s="1138" t="s">
        <v>95</v>
      </c>
      <c r="B17" s="1138"/>
      <c r="C17" s="547"/>
      <c r="D17" s="547">
        <v>0</v>
      </c>
      <c r="E17" s="547">
        <v>0</v>
      </c>
      <c r="F17" s="547">
        <v>0</v>
      </c>
      <c r="G17" s="547">
        <v>0</v>
      </c>
      <c r="H17" s="547">
        <v>0</v>
      </c>
      <c r="I17" s="547"/>
      <c r="J17" s="547"/>
      <c r="K17" s="547"/>
      <c r="L17" s="697"/>
      <c r="M17" s="550">
        <v>0</v>
      </c>
    </row>
    <row r="18" spans="1:13" s="559" customFormat="1" ht="15" customHeight="1">
      <c r="A18" s="1140" t="s">
        <v>68</v>
      </c>
      <c r="B18" s="1140"/>
      <c r="C18" s="638"/>
      <c r="D18" s="638"/>
      <c r="E18" s="695"/>
      <c r="F18" s="638"/>
      <c r="G18" s="638"/>
      <c r="H18" s="638"/>
      <c r="I18" s="638"/>
      <c r="J18" s="638"/>
      <c r="K18" s="638"/>
      <c r="L18" s="696"/>
      <c r="M18" s="643"/>
    </row>
    <row r="19" spans="1:13" s="559" customFormat="1" ht="48.75" customHeight="1">
      <c r="A19" s="511" t="s">
        <v>332</v>
      </c>
      <c r="B19" s="511" t="s">
        <v>333</v>
      </c>
      <c r="C19" s="511" t="s">
        <v>213</v>
      </c>
      <c r="D19" s="512" t="s">
        <v>36</v>
      </c>
      <c r="E19" s="512" t="s">
        <v>73</v>
      </c>
      <c r="F19" s="512" t="s">
        <v>74</v>
      </c>
      <c r="G19" s="512" t="s">
        <v>37</v>
      </c>
      <c r="H19" s="512" t="s">
        <v>38</v>
      </c>
      <c r="I19" s="512" t="s">
        <v>15</v>
      </c>
      <c r="J19" s="512" t="s">
        <v>214</v>
      </c>
      <c r="K19" s="512" t="s">
        <v>39</v>
      </c>
      <c r="L19" s="512" t="s">
        <v>357</v>
      </c>
      <c r="M19" s="511" t="s">
        <v>58</v>
      </c>
    </row>
    <row r="20" spans="1:13" s="698" customFormat="1" ht="24.75" customHeight="1">
      <c r="A20" s="849"/>
      <c r="B20" s="784"/>
      <c r="C20" s="848"/>
      <c r="D20" s="562">
        <v>1</v>
      </c>
      <c r="E20" s="580"/>
      <c r="F20" s="580">
        <v>1</v>
      </c>
      <c r="G20" s="580">
        <v>1</v>
      </c>
      <c r="H20" s="580"/>
      <c r="I20" s="580" t="s">
        <v>212</v>
      </c>
      <c r="J20" s="562"/>
      <c r="K20" s="580">
        <v>1973</v>
      </c>
      <c r="L20" s="575" t="s">
        <v>286</v>
      </c>
      <c r="M20" s="586">
        <v>3011.45</v>
      </c>
    </row>
    <row r="21" spans="1:13" s="559" customFormat="1" ht="15" customHeight="1">
      <c r="A21" s="1138" t="s">
        <v>478</v>
      </c>
      <c r="B21" s="1138"/>
      <c r="C21" s="700"/>
      <c r="D21" s="547">
        <f>SUM(D20)</f>
        <v>1</v>
      </c>
      <c r="E21" s="547">
        <v>0</v>
      </c>
      <c r="F21" s="547">
        <f>SUM(F20)</f>
        <v>1</v>
      </c>
      <c r="G21" s="547">
        <f>SUM(G20)</f>
        <v>1</v>
      </c>
      <c r="H21" s="547">
        <v>0</v>
      </c>
      <c r="I21" s="701"/>
      <c r="J21" s="700"/>
      <c r="K21" s="701"/>
      <c r="L21" s="702"/>
      <c r="M21" s="550">
        <f>SUM(M20)</f>
        <v>3011.45</v>
      </c>
    </row>
    <row r="22" spans="1:13" s="644" customFormat="1" ht="18.75" customHeight="1">
      <c r="A22" s="1140" t="s">
        <v>65</v>
      </c>
      <c r="B22" s="1140"/>
      <c r="C22" s="545"/>
      <c r="D22" s="703"/>
      <c r="E22" s="704"/>
      <c r="F22" s="705"/>
      <c r="G22" s="705"/>
      <c r="H22" s="705"/>
      <c r="I22" s="705"/>
      <c r="J22" s="705"/>
      <c r="K22" s="705"/>
      <c r="L22" s="705"/>
      <c r="M22" s="705"/>
    </row>
    <row r="23" spans="1:13" s="644" customFormat="1" ht="48.75" customHeight="1">
      <c r="A23" s="511" t="s">
        <v>332</v>
      </c>
      <c r="B23" s="511" t="s">
        <v>333</v>
      </c>
      <c r="C23" s="511" t="s">
        <v>213</v>
      </c>
      <c r="D23" s="512" t="s">
        <v>36</v>
      </c>
      <c r="E23" s="512" t="s">
        <v>73</v>
      </c>
      <c r="F23" s="512" t="s">
        <v>74</v>
      </c>
      <c r="G23" s="512" t="s">
        <v>37</v>
      </c>
      <c r="H23" s="512" t="s">
        <v>38</v>
      </c>
      <c r="I23" s="512" t="s">
        <v>15</v>
      </c>
      <c r="J23" s="512" t="s">
        <v>214</v>
      </c>
      <c r="K23" s="512" t="s">
        <v>39</v>
      </c>
      <c r="L23" s="512" t="s">
        <v>357</v>
      </c>
      <c r="M23" s="511" t="s">
        <v>58</v>
      </c>
    </row>
    <row r="24" spans="1:13" s="698" customFormat="1" ht="15" customHeight="1">
      <c r="A24" s="849"/>
      <c r="B24" s="784"/>
      <c r="C24" s="848"/>
      <c r="D24" s="562">
        <v>1</v>
      </c>
      <c r="E24" s="580">
        <v>1</v>
      </c>
      <c r="F24" s="580"/>
      <c r="G24" s="580">
        <v>1</v>
      </c>
      <c r="H24" s="580">
        <v>1</v>
      </c>
      <c r="I24" s="580" t="s">
        <v>212</v>
      </c>
      <c r="J24" s="580" t="s">
        <v>212</v>
      </c>
      <c r="K24" s="580">
        <v>1996</v>
      </c>
      <c r="L24" s="580" t="s">
        <v>178</v>
      </c>
      <c r="M24" s="586">
        <v>208</v>
      </c>
    </row>
    <row r="25" spans="1:13" s="698" customFormat="1" ht="15" customHeight="1">
      <c r="A25" s="849"/>
      <c r="B25" s="784"/>
      <c r="C25" s="848"/>
      <c r="D25" s="562"/>
      <c r="E25" s="580"/>
      <c r="F25" s="580"/>
      <c r="G25" s="580"/>
      <c r="H25" s="580"/>
      <c r="I25" s="580"/>
      <c r="J25" s="580"/>
      <c r="K25" s="580"/>
      <c r="L25" s="580" t="s">
        <v>276</v>
      </c>
      <c r="M25" s="586">
        <f>4044.33+563.65</f>
        <v>4607.98</v>
      </c>
    </row>
    <row r="26" spans="1:13" s="698" customFormat="1" ht="15" customHeight="1">
      <c r="A26" s="1144" t="s">
        <v>51</v>
      </c>
      <c r="B26" s="1144"/>
      <c r="C26" s="562"/>
      <c r="D26" s="580"/>
      <c r="E26" s="580"/>
      <c r="F26" s="578"/>
      <c r="G26" s="578"/>
      <c r="H26" s="580"/>
      <c r="I26" s="580"/>
      <c r="J26" s="580"/>
      <c r="K26" s="706"/>
      <c r="L26" s="575" t="s">
        <v>275</v>
      </c>
      <c r="M26" s="586">
        <f>416.64-563.65</f>
        <v>-147.01</v>
      </c>
    </row>
    <row r="27" spans="1:13" s="559" customFormat="1" ht="15" customHeight="1">
      <c r="A27" s="1138" t="s">
        <v>340</v>
      </c>
      <c r="B27" s="1138"/>
      <c r="C27" s="700"/>
      <c r="D27" s="547">
        <f>SUM(D24:D26)</f>
        <v>1</v>
      </c>
      <c r="E27" s="547">
        <v>1</v>
      </c>
      <c r="F27" s="547">
        <v>0</v>
      </c>
      <c r="G27" s="547">
        <f>SUM(G25)</f>
        <v>0</v>
      </c>
      <c r="H27" s="547">
        <f>SUM(H24:H26)</f>
        <v>1</v>
      </c>
      <c r="I27" s="701"/>
      <c r="J27" s="700"/>
      <c r="K27" s="701"/>
      <c r="L27" s="702"/>
      <c r="M27" s="550">
        <f>SUM(M24:M26)</f>
        <v>4668.969999999999</v>
      </c>
    </row>
    <row r="28" spans="1:13" s="559" customFormat="1" ht="15" customHeight="1">
      <c r="A28" s="1140" t="s">
        <v>69</v>
      </c>
      <c r="B28" s="1140"/>
      <c r="C28" s="638"/>
      <c r="D28" s="638"/>
      <c r="E28" s="695"/>
      <c r="F28" s="638"/>
      <c r="G28" s="638"/>
      <c r="H28" s="638"/>
      <c r="I28" s="638"/>
      <c r="J28" s="638"/>
      <c r="K28" s="638"/>
      <c r="L28" s="696"/>
      <c r="M28" s="643"/>
    </row>
    <row r="29" spans="1:13" s="559" customFormat="1" ht="48.75" customHeight="1">
      <c r="A29" s="511" t="s">
        <v>332</v>
      </c>
      <c r="B29" s="511" t="s">
        <v>333</v>
      </c>
      <c r="C29" s="511" t="s">
        <v>213</v>
      </c>
      <c r="D29" s="512" t="s">
        <v>36</v>
      </c>
      <c r="E29" s="512" t="s">
        <v>73</v>
      </c>
      <c r="F29" s="512" t="s">
        <v>74</v>
      </c>
      <c r="G29" s="512" t="s">
        <v>37</v>
      </c>
      <c r="H29" s="512" t="s">
        <v>38</v>
      </c>
      <c r="I29" s="512" t="s">
        <v>15</v>
      </c>
      <c r="J29" s="512" t="s">
        <v>214</v>
      </c>
      <c r="K29" s="512" t="s">
        <v>39</v>
      </c>
      <c r="L29" s="512" t="s">
        <v>357</v>
      </c>
      <c r="M29" s="511" t="s">
        <v>58</v>
      </c>
    </row>
    <row r="30" spans="1:13" s="559" customFormat="1" ht="15" customHeight="1">
      <c r="A30" s="1138" t="s">
        <v>13</v>
      </c>
      <c r="B30" s="1138"/>
      <c r="C30" s="547"/>
      <c r="D30" s="547">
        <v>0</v>
      </c>
      <c r="E30" s="547">
        <v>0</v>
      </c>
      <c r="F30" s="547">
        <v>0</v>
      </c>
      <c r="G30" s="547">
        <v>0</v>
      </c>
      <c r="H30" s="547">
        <v>0</v>
      </c>
      <c r="I30" s="547"/>
      <c r="J30" s="547"/>
      <c r="K30" s="547"/>
      <c r="L30" s="697"/>
      <c r="M30" s="550">
        <v>0</v>
      </c>
    </row>
    <row r="31" spans="1:13" s="559" customFormat="1" ht="15" customHeight="1">
      <c r="A31" s="1140" t="s">
        <v>70</v>
      </c>
      <c r="B31" s="1140"/>
      <c r="C31" s="638"/>
      <c r="D31" s="707"/>
      <c r="E31" s="708"/>
      <c r="F31" s="708"/>
      <c r="G31" s="708"/>
      <c r="H31" s="708"/>
      <c r="I31" s="709"/>
      <c r="J31" s="708"/>
      <c r="K31" s="708"/>
      <c r="L31" s="661"/>
      <c r="M31" s="710"/>
    </row>
    <row r="32" spans="1:13" s="635" customFormat="1" ht="57" customHeight="1">
      <c r="A32" s="511" t="s">
        <v>332</v>
      </c>
      <c r="B32" s="511" t="s">
        <v>333</v>
      </c>
      <c r="C32" s="511" t="s">
        <v>213</v>
      </c>
      <c r="D32" s="512" t="s">
        <v>36</v>
      </c>
      <c r="E32" s="512" t="s">
        <v>73</v>
      </c>
      <c r="F32" s="512" t="s">
        <v>74</v>
      </c>
      <c r="G32" s="512" t="s">
        <v>37</v>
      </c>
      <c r="H32" s="512" t="s">
        <v>38</v>
      </c>
      <c r="I32" s="512" t="s">
        <v>15</v>
      </c>
      <c r="J32" s="512" t="s">
        <v>214</v>
      </c>
      <c r="K32" s="512" t="s">
        <v>39</v>
      </c>
      <c r="L32" s="512" t="s">
        <v>357</v>
      </c>
      <c r="M32" s="511" t="s">
        <v>58</v>
      </c>
    </row>
    <row r="33" spans="1:13" s="698" customFormat="1" ht="15" customHeight="1">
      <c r="A33" s="849"/>
      <c r="B33" s="784"/>
      <c r="C33" s="851"/>
      <c r="D33" s="580">
        <v>1</v>
      </c>
      <c r="E33" s="580"/>
      <c r="F33" s="578">
        <v>1</v>
      </c>
      <c r="G33" s="578"/>
      <c r="H33" s="580">
        <v>1</v>
      </c>
      <c r="I33" s="580" t="s">
        <v>212</v>
      </c>
      <c r="J33" s="584" t="s">
        <v>427</v>
      </c>
      <c r="K33" s="578">
        <v>2010</v>
      </c>
      <c r="L33" s="580" t="s">
        <v>178</v>
      </c>
      <c r="M33" s="711">
        <v>48</v>
      </c>
    </row>
    <row r="34" spans="1:13" s="698" customFormat="1" ht="15" customHeight="1">
      <c r="A34" s="784"/>
      <c r="B34" s="850"/>
      <c r="C34" s="851"/>
      <c r="D34" s="580">
        <v>1</v>
      </c>
      <c r="E34" s="580">
        <v>1</v>
      </c>
      <c r="F34" s="578"/>
      <c r="G34" s="578">
        <v>1</v>
      </c>
      <c r="H34" s="580"/>
      <c r="I34" s="580" t="s">
        <v>212</v>
      </c>
      <c r="J34" s="584" t="s">
        <v>212</v>
      </c>
      <c r="K34" s="712">
        <v>1998</v>
      </c>
      <c r="L34" s="580" t="s">
        <v>178</v>
      </c>
      <c r="M34" s="711">
        <v>5002.4</v>
      </c>
    </row>
    <row r="35" spans="1:13" s="698" customFormat="1" ht="15" customHeight="1">
      <c r="A35" s="784"/>
      <c r="B35" s="850"/>
      <c r="C35" s="851"/>
      <c r="D35" s="580"/>
      <c r="E35" s="580"/>
      <c r="F35" s="578"/>
      <c r="G35" s="578"/>
      <c r="H35" s="580"/>
      <c r="I35" s="580"/>
      <c r="J35" s="580"/>
      <c r="K35" s="712"/>
      <c r="L35" s="580" t="s">
        <v>276</v>
      </c>
      <c r="M35" s="711">
        <f>2195.28+1041.73+92.18</f>
        <v>3329.19</v>
      </c>
    </row>
    <row r="36" spans="1:13" s="698" customFormat="1" ht="15" customHeight="1">
      <c r="A36" s="778" t="s">
        <v>51</v>
      </c>
      <c r="B36" s="579"/>
      <c r="C36" s="584"/>
      <c r="D36" s="580"/>
      <c r="E36" s="580"/>
      <c r="F36" s="578"/>
      <c r="G36" s="578"/>
      <c r="H36" s="580"/>
      <c r="I36" s="580"/>
      <c r="J36" s="580"/>
      <c r="K36" s="712"/>
      <c r="L36" s="580" t="s">
        <v>275</v>
      </c>
      <c r="M36" s="711">
        <f>2911.14-2195.28-92.18</f>
        <v>623.6799999999996</v>
      </c>
    </row>
    <row r="37" spans="1:14" s="716" customFormat="1" ht="15" customHeight="1">
      <c r="A37" s="1141" t="s">
        <v>341</v>
      </c>
      <c r="B37" s="1141"/>
      <c r="C37" s="527"/>
      <c r="D37" s="526">
        <f>SUM(D33:D36)</f>
        <v>2</v>
      </c>
      <c r="E37" s="526">
        <f>SUM(E33:E36)</f>
        <v>1</v>
      </c>
      <c r="F37" s="526">
        <f>SUM(F33:F36)</f>
        <v>1</v>
      </c>
      <c r="G37" s="526">
        <f>SUM(G33:G36)</f>
        <v>1</v>
      </c>
      <c r="H37" s="526">
        <f>SUM(H33:H36)</f>
        <v>1</v>
      </c>
      <c r="I37" s="713"/>
      <c r="J37" s="554"/>
      <c r="K37" s="554"/>
      <c r="L37" s="714"/>
      <c r="M37" s="550">
        <f>SUM(M33:M36)</f>
        <v>9003.27</v>
      </c>
      <c r="N37" s="715"/>
    </row>
    <row r="38" spans="1:13" s="559" customFormat="1" ht="15" customHeight="1">
      <c r="A38" s="1140" t="s">
        <v>71</v>
      </c>
      <c r="B38" s="1140"/>
      <c r="C38" s="638"/>
      <c r="D38" s="707"/>
      <c r="E38" s="708"/>
      <c r="F38" s="708"/>
      <c r="G38" s="708"/>
      <c r="H38" s="708"/>
      <c r="I38" s="709"/>
      <c r="J38" s="708"/>
      <c r="K38" s="708"/>
      <c r="L38" s="661"/>
      <c r="M38" s="710"/>
    </row>
    <row r="39" spans="1:13" s="559" customFormat="1" ht="48.75" customHeight="1">
      <c r="A39" s="511" t="s">
        <v>332</v>
      </c>
      <c r="B39" s="511" t="s">
        <v>333</v>
      </c>
      <c r="C39" s="511" t="s">
        <v>213</v>
      </c>
      <c r="D39" s="512" t="s">
        <v>36</v>
      </c>
      <c r="E39" s="512" t="s">
        <v>73</v>
      </c>
      <c r="F39" s="512" t="s">
        <v>74</v>
      </c>
      <c r="G39" s="512" t="s">
        <v>37</v>
      </c>
      <c r="H39" s="512" t="s">
        <v>38</v>
      </c>
      <c r="I39" s="512" t="s">
        <v>15</v>
      </c>
      <c r="J39" s="512" t="s">
        <v>214</v>
      </c>
      <c r="K39" s="512" t="s">
        <v>39</v>
      </c>
      <c r="L39" s="512" t="s">
        <v>357</v>
      </c>
      <c r="M39" s="511" t="s">
        <v>58</v>
      </c>
    </row>
    <row r="40" spans="1:13" s="559" customFormat="1" ht="15" customHeight="1">
      <c r="A40" s="784"/>
      <c r="B40" s="784"/>
      <c r="C40" s="851"/>
      <c r="D40" s="580">
        <v>1</v>
      </c>
      <c r="E40" s="580"/>
      <c r="F40" s="578">
        <v>1</v>
      </c>
      <c r="G40" s="578">
        <v>1</v>
      </c>
      <c r="H40" s="717"/>
      <c r="I40" s="580" t="s">
        <v>212</v>
      </c>
      <c r="J40" s="584"/>
      <c r="K40" s="580">
        <v>1989</v>
      </c>
      <c r="L40" s="1139" t="s">
        <v>177</v>
      </c>
      <c r="M40" s="1137">
        <v>327.44</v>
      </c>
    </row>
    <row r="41" spans="1:13" s="559" customFormat="1" ht="15" customHeight="1">
      <c r="A41" s="784"/>
      <c r="B41" s="784"/>
      <c r="C41" s="851"/>
      <c r="D41" s="580">
        <v>1</v>
      </c>
      <c r="E41" s="580"/>
      <c r="F41" s="578">
        <v>1</v>
      </c>
      <c r="G41" s="578">
        <v>1</v>
      </c>
      <c r="H41" s="717"/>
      <c r="I41" s="580" t="s">
        <v>212</v>
      </c>
      <c r="J41" s="584" t="s">
        <v>212</v>
      </c>
      <c r="K41" s="580">
        <v>2010</v>
      </c>
      <c r="L41" s="1139"/>
      <c r="M41" s="1137"/>
    </row>
    <row r="42" spans="1:14" s="716" customFormat="1" ht="15" customHeight="1">
      <c r="A42" s="1141" t="s">
        <v>22</v>
      </c>
      <c r="B42" s="1141"/>
      <c r="C42" s="527"/>
      <c r="D42" s="526">
        <f>SUM(D40:D41)</f>
        <v>2</v>
      </c>
      <c r="E42" s="526">
        <v>0</v>
      </c>
      <c r="F42" s="547">
        <f>SUM(F40:F41)</f>
        <v>2</v>
      </c>
      <c r="G42" s="526">
        <v>2</v>
      </c>
      <c r="H42" s="526">
        <v>0</v>
      </c>
      <c r="I42" s="713"/>
      <c r="J42" s="554"/>
      <c r="K42" s="554"/>
      <c r="L42" s="714"/>
      <c r="M42" s="550">
        <f>SUM(M40)</f>
        <v>327.44</v>
      </c>
      <c r="N42" s="715"/>
    </row>
    <row r="43" spans="1:13" s="559" customFormat="1" ht="15" customHeight="1">
      <c r="A43" s="1140" t="s">
        <v>72</v>
      </c>
      <c r="B43" s="1140"/>
      <c r="C43" s="638"/>
      <c r="D43" s="707"/>
      <c r="E43" s="708"/>
      <c r="F43" s="708"/>
      <c r="G43" s="708"/>
      <c r="H43" s="708"/>
      <c r="I43" s="709"/>
      <c r="J43" s="708"/>
      <c r="K43" s="708"/>
      <c r="L43" s="661"/>
      <c r="M43" s="710"/>
    </row>
    <row r="44" spans="1:13" s="559" customFormat="1" ht="15" customHeight="1">
      <c r="A44" s="784"/>
      <c r="B44" s="850"/>
      <c r="C44" s="852"/>
      <c r="D44" s="580">
        <v>1</v>
      </c>
      <c r="E44" s="580"/>
      <c r="F44" s="580">
        <v>1</v>
      </c>
      <c r="G44" s="580"/>
      <c r="H44" s="580">
        <v>1</v>
      </c>
      <c r="I44" s="580" t="s">
        <v>18</v>
      </c>
      <c r="J44" s="584"/>
      <c r="K44" s="562">
        <v>1977</v>
      </c>
      <c r="L44" s="1139" t="s">
        <v>177</v>
      </c>
      <c r="M44" s="1137">
        <v>92.98</v>
      </c>
    </row>
    <row r="45" spans="1:13" s="559" customFormat="1" ht="15" customHeight="1">
      <c r="A45" s="784"/>
      <c r="B45" s="850"/>
      <c r="C45" s="852"/>
      <c r="D45" s="580">
        <v>1</v>
      </c>
      <c r="E45" s="580">
        <v>1</v>
      </c>
      <c r="F45" s="580"/>
      <c r="G45" s="580"/>
      <c r="H45" s="580">
        <v>1</v>
      </c>
      <c r="I45" s="580" t="s">
        <v>18</v>
      </c>
      <c r="J45" s="580" t="s">
        <v>18</v>
      </c>
      <c r="K45" s="562">
        <v>1999</v>
      </c>
      <c r="L45" s="1139"/>
      <c r="M45" s="1137"/>
    </row>
    <row r="46" spans="1:13" s="559" customFormat="1" ht="15" customHeight="1">
      <c r="A46" s="784"/>
      <c r="B46" s="850"/>
      <c r="C46" s="852"/>
      <c r="D46" s="580">
        <v>1</v>
      </c>
      <c r="E46" s="719"/>
      <c r="F46" s="580">
        <v>1</v>
      </c>
      <c r="G46" s="719"/>
      <c r="H46" s="580">
        <v>1</v>
      </c>
      <c r="I46" s="580" t="s">
        <v>18</v>
      </c>
      <c r="J46" s="580" t="s">
        <v>18</v>
      </c>
      <c r="K46" s="562">
        <v>2001</v>
      </c>
      <c r="L46" s="1139"/>
      <c r="M46" s="1137"/>
    </row>
    <row r="47" spans="1:13" s="559" customFormat="1" ht="15" customHeight="1">
      <c r="A47" s="784"/>
      <c r="B47" s="784"/>
      <c r="C47" s="851"/>
      <c r="D47" s="580">
        <v>1</v>
      </c>
      <c r="E47" s="580">
        <v>1</v>
      </c>
      <c r="F47" s="580"/>
      <c r="G47" s="580">
        <v>1</v>
      </c>
      <c r="H47" s="580"/>
      <c r="I47" s="580" t="s">
        <v>212</v>
      </c>
      <c r="J47" s="584" t="s">
        <v>422</v>
      </c>
      <c r="K47" s="562">
        <v>1996</v>
      </c>
      <c r="L47" s="718" t="s">
        <v>366</v>
      </c>
      <c r="M47" s="711">
        <v>1330.16</v>
      </c>
    </row>
    <row r="48" spans="1:13" s="559" customFormat="1" ht="15" customHeight="1">
      <c r="A48" s="784"/>
      <c r="B48" s="784"/>
      <c r="C48" s="848"/>
      <c r="D48" s="580">
        <v>1</v>
      </c>
      <c r="E48" s="580"/>
      <c r="F48" s="580">
        <v>1</v>
      </c>
      <c r="G48" s="580">
        <v>1</v>
      </c>
      <c r="H48" s="580"/>
      <c r="I48" s="584" t="s">
        <v>212</v>
      </c>
      <c r="J48" s="584" t="s">
        <v>212</v>
      </c>
      <c r="K48" s="562">
        <v>1999</v>
      </c>
      <c r="L48" s="1139" t="s">
        <v>177</v>
      </c>
      <c r="M48" s="1137">
        <v>47.72</v>
      </c>
    </row>
    <row r="49" spans="1:13" s="559" customFormat="1" ht="15" customHeight="1">
      <c r="A49" s="784"/>
      <c r="B49" s="850"/>
      <c r="C49" s="852"/>
      <c r="D49" s="580">
        <v>1</v>
      </c>
      <c r="E49" s="580"/>
      <c r="F49" s="580">
        <v>1</v>
      </c>
      <c r="G49" s="580"/>
      <c r="H49" s="580">
        <v>1</v>
      </c>
      <c r="I49" s="584" t="s">
        <v>343</v>
      </c>
      <c r="J49" s="584"/>
      <c r="K49" s="580">
        <v>1957</v>
      </c>
      <c r="L49" s="1139"/>
      <c r="M49" s="1137"/>
    </row>
    <row r="50" spans="1:13" s="559" customFormat="1" ht="15" customHeight="1">
      <c r="A50" s="784"/>
      <c r="B50" s="850"/>
      <c r="C50" s="852"/>
      <c r="D50" s="580">
        <v>1</v>
      </c>
      <c r="E50" s="580"/>
      <c r="F50" s="580">
        <v>1</v>
      </c>
      <c r="G50" s="580"/>
      <c r="H50" s="580">
        <v>1</v>
      </c>
      <c r="I50" s="584" t="s">
        <v>343</v>
      </c>
      <c r="J50" s="584"/>
      <c r="K50" s="580">
        <v>1978</v>
      </c>
      <c r="L50" s="1139"/>
      <c r="M50" s="1137"/>
    </row>
    <row r="51" spans="1:13" s="559" customFormat="1" ht="15" customHeight="1">
      <c r="A51" s="784"/>
      <c r="B51" s="850"/>
      <c r="C51" s="851"/>
      <c r="D51" s="580">
        <v>1</v>
      </c>
      <c r="E51" s="580"/>
      <c r="F51" s="580">
        <v>1</v>
      </c>
      <c r="G51" s="580"/>
      <c r="H51" s="580">
        <v>1</v>
      </c>
      <c r="I51" s="584" t="s">
        <v>343</v>
      </c>
      <c r="J51" s="584"/>
      <c r="K51" s="580">
        <v>1980</v>
      </c>
      <c r="L51" s="1139"/>
      <c r="M51" s="1137"/>
    </row>
    <row r="52" spans="1:13" s="559" customFormat="1" ht="15" customHeight="1">
      <c r="A52" s="784"/>
      <c r="B52" s="784"/>
      <c r="C52" s="851"/>
      <c r="D52" s="580">
        <v>1</v>
      </c>
      <c r="E52" s="580">
        <v>1</v>
      </c>
      <c r="F52" s="580"/>
      <c r="G52" s="580"/>
      <c r="H52" s="580">
        <v>1</v>
      </c>
      <c r="I52" s="580" t="s">
        <v>343</v>
      </c>
      <c r="J52" s="584" t="s">
        <v>343</v>
      </c>
      <c r="K52" s="562">
        <v>1999</v>
      </c>
      <c r="L52" s="1139"/>
      <c r="M52" s="1137"/>
    </row>
    <row r="53" spans="1:13" s="559" customFormat="1" ht="15" customHeight="1">
      <c r="A53" s="784"/>
      <c r="B53" s="850"/>
      <c r="C53" s="852"/>
      <c r="D53" s="580">
        <v>1</v>
      </c>
      <c r="E53" s="580"/>
      <c r="F53" s="580">
        <v>1</v>
      </c>
      <c r="G53" s="580"/>
      <c r="H53" s="580">
        <v>1</v>
      </c>
      <c r="I53" s="584" t="s">
        <v>343</v>
      </c>
      <c r="J53" s="584" t="s">
        <v>343</v>
      </c>
      <c r="K53" s="562">
        <v>1999</v>
      </c>
      <c r="L53" s="1139"/>
      <c r="M53" s="1137"/>
    </row>
    <row r="54" spans="1:13" s="559" customFormat="1" ht="15" customHeight="1">
      <c r="A54" s="784"/>
      <c r="B54" s="850"/>
      <c r="C54" s="852"/>
      <c r="D54" s="580">
        <v>1</v>
      </c>
      <c r="E54" s="580"/>
      <c r="F54" s="580">
        <v>1</v>
      </c>
      <c r="G54" s="580"/>
      <c r="H54" s="580">
        <v>1</v>
      </c>
      <c r="I54" s="580" t="s">
        <v>212</v>
      </c>
      <c r="J54" s="584" t="s">
        <v>343</v>
      </c>
      <c r="K54" s="580">
        <v>2012</v>
      </c>
      <c r="L54" s="1139"/>
      <c r="M54" s="1137"/>
    </row>
    <row r="55" spans="1:14" s="716" customFormat="1" ht="15" customHeight="1">
      <c r="A55" s="1138" t="s">
        <v>328</v>
      </c>
      <c r="B55" s="1138"/>
      <c r="C55" s="527"/>
      <c r="D55" s="526">
        <f>SUM(D44:D54)</f>
        <v>11</v>
      </c>
      <c r="E55" s="526">
        <f>SUM(E44:E54)</f>
        <v>3</v>
      </c>
      <c r="F55" s="526">
        <f>SUM(F44:F54)</f>
        <v>8</v>
      </c>
      <c r="G55" s="526">
        <f>SUM(G47:G48)</f>
        <v>2</v>
      </c>
      <c r="H55" s="526">
        <f>SUM(H44:H54)</f>
        <v>9</v>
      </c>
      <c r="I55" s="713"/>
      <c r="J55" s="554"/>
      <c r="K55" s="554"/>
      <c r="L55" s="714"/>
      <c r="M55" s="550">
        <f>SUM(M44:M54)</f>
        <v>1470.8600000000001</v>
      </c>
      <c r="N55" s="715"/>
    </row>
    <row r="56" spans="1:13" s="559" customFormat="1" ht="15" customHeight="1">
      <c r="A56" s="1140" t="s">
        <v>250</v>
      </c>
      <c r="B56" s="1140"/>
      <c r="C56" s="638"/>
      <c r="D56" s="707"/>
      <c r="E56" s="708"/>
      <c r="F56" s="708"/>
      <c r="G56" s="708"/>
      <c r="H56" s="708"/>
      <c r="I56" s="709"/>
      <c r="J56" s="708"/>
      <c r="K56" s="708"/>
      <c r="L56" s="661"/>
      <c r="M56" s="710"/>
    </row>
    <row r="57" spans="1:13" s="559" customFormat="1" ht="15" customHeight="1">
      <c r="A57" s="784"/>
      <c r="B57" s="784"/>
      <c r="C57" s="848"/>
      <c r="D57" s="580">
        <v>1</v>
      </c>
      <c r="E57" s="720"/>
      <c r="F57" s="580">
        <v>1</v>
      </c>
      <c r="G57" s="580"/>
      <c r="H57" s="580">
        <v>1</v>
      </c>
      <c r="I57" s="581" t="s">
        <v>427</v>
      </c>
      <c r="J57" s="581"/>
      <c r="K57" s="578">
        <v>1972</v>
      </c>
      <c r="L57" s="718" t="s">
        <v>177</v>
      </c>
      <c r="M57" s="586">
        <v>44.86</v>
      </c>
    </row>
    <row r="58" spans="1:14" s="716" customFormat="1" ht="15" customHeight="1">
      <c r="A58" s="1142" t="s">
        <v>251</v>
      </c>
      <c r="B58" s="1142"/>
      <c r="C58" s="527"/>
      <c r="D58" s="526">
        <f>SUM(D57:D57)</f>
        <v>1</v>
      </c>
      <c r="E58" s="526">
        <v>0</v>
      </c>
      <c r="F58" s="526">
        <f>SUM(F57:F57)</f>
        <v>1</v>
      </c>
      <c r="G58" s="526">
        <f>SUM(G53:G54)</f>
        <v>0</v>
      </c>
      <c r="H58" s="526">
        <f>SUM(H57:H57)</f>
        <v>1</v>
      </c>
      <c r="I58" s="713"/>
      <c r="J58" s="554"/>
      <c r="K58" s="554"/>
      <c r="L58" s="714"/>
      <c r="M58" s="550">
        <f>SUM(M57)</f>
        <v>44.86</v>
      </c>
      <c r="N58" s="715"/>
    </row>
    <row r="59" spans="1:15" s="722" customFormat="1" ht="15" customHeight="1">
      <c r="A59" s="1143" t="s">
        <v>227</v>
      </c>
      <c r="B59" s="1143"/>
      <c r="C59" s="556"/>
      <c r="D59" s="556">
        <f>D58+D55+D42+D37+D27+D21+D14</f>
        <v>24</v>
      </c>
      <c r="E59" s="556">
        <f>E58+E55+E42+E37+E27+E21+E14</f>
        <v>7</v>
      </c>
      <c r="F59" s="556">
        <f>F58+F55+F42+F37+F27+F21+F14</f>
        <v>17</v>
      </c>
      <c r="G59" s="556">
        <f>G58+G55+G42+G37+G27+G21+G14</f>
        <v>7</v>
      </c>
      <c r="H59" s="556">
        <f>H58+H55+H42+H37+H27+H21+H14</f>
        <v>17</v>
      </c>
      <c r="I59" s="556"/>
      <c r="J59" s="556"/>
      <c r="K59" s="556"/>
      <c r="L59" s="721"/>
      <c r="M59" s="558">
        <f>M58+M55+M42+M37+M27+M21+M14</f>
        <v>19469.26</v>
      </c>
      <c r="O59" s="723"/>
    </row>
  </sheetData>
  <mergeCells count="33">
    <mergeCell ref="A28:B28"/>
    <mergeCell ref="A30:B30"/>
    <mergeCell ref="A26:B26"/>
    <mergeCell ref="A3:B3"/>
    <mergeCell ref="A5:B5"/>
    <mergeCell ref="A15:B15"/>
    <mergeCell ref="A17:B17"/>
    <mergeCell ref="A6:B6"/>
    <mergeCell ref="A14:B14"/>
    <mergeCell ref="A18:B18"/>
    <mergeCell ref="A55:B55"/>
    <mergeCell ref="A56:B56"/>
    <mergeCell ref="A58:B58"/>
    <mergeCell ref="A59:B59"/>
    <mergeCell ref="A37:B37"/>
    <mergeCell ref="A38:B38"/>
    <mergeCell ref="A42:B42"/>
    <mergeCell ref="A43:B43"/>
    <mergeCell ref="A21:B21"/>
    <mergeCell ref="L44:L46"/>
    <mergeCell ref="M44:M46"/>
    <mergeCell ref="L48:L54"/>
    <mergeCell ref="M48:M54"/>
    <mergeCell ref="L40:L41"/>
    <mergeCell ref="M40:M41"/>
    <mergeCell ref="A22:B22"/>
    <mergeCell ref="A27:B27"/>
    <mergeCell ref="A31:B31"/>
    <mergeCell ref="A1:L1"/>
    <mergeCell ref="A2:M2"/>
    <mergeCell ref="L8:L13"/>
    <mergeCell ref="M9:M10"/>
    <mergeCell ref="M11:M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I8"/>
  <sheetViews>
    <sheetView workbookViewId="0" topLeftCell="A1">
      <selection activeCell="A4" sqref="A4"/>
    </sheetView>
  </sheetViews>
  <sheetFormatPr defaultColWidth="9.140625" defaultRowHeight="12.75"/>
  <cols>
    <col min="1" max="1" width="24.00390625" style="510" customWidth="1"/>
    <col min="2" max="2" width="35.8515625" style="510" customWidth="1"/>
    <col min="3" max="3" width="45.140625" style="510" customWidth="1"/>
    <col min="4" max="4" width="31.8515625" style="510" customWidth="1"/>
    <col min="5" max="5" width="10.7109375" style="510" customWidth="1"/>
    <col min="6" max="6" width="18.421875" style="510" customWidth="1"/>
    <col min="7" max="7" width="22.421875" style="510" customWidth="1"/>
    <col min="8" max="8" width="10.8515625" style="510" customWidth="1"/>
    <col min="9" max="16384" width="9.140625" style="510" customWidth="1"/>
  </cols>
  <sheetData>
    <row r="1" spans="1:8" ht="30" customHeight="1">
      <c r="A1" s="1013" t="s">
        <v>235</v>
      </c>
      <c r="B1" s="1014"/>
      <c r="C1" s="1014"/>
      <c r="D1" s="1014"/>
      <c r="E1" s="1014"/>
      <c r="F1" s="1014"/>
      <c r="G1" s="543">
        <v>40071123</v>
      </c>
      <c r="H1" s="509"/>
    </row>
    <row r="2" spans="1:7" ht="43.5" customHeight="1">
      <c r="A2" s="1009" t="s">
        <v>234</v>
      </c>
      <c r="B2" s="1010"/>
      <c r="C2" s="1011"/>
      <c r="D2" s="1011"/>
      <c r="E2" s="1011"/>
      <c r="F2" s="1011"/>
      <c r="G2" s="1012"/>
    </row>
    <row r="3" spans="1:7" ht="15" customHeight="1">
      <c r="A3" s="511" t="s">
        <v>158</v>
      </c>
      <c r="B3" s="511" t="s">
        <v>159</v>
      </c>
      <c r="C3" s="512" t="s">
        <v>160</v>
      </c>
      <c r="D3" s="512" t="s">
        <v>161</v>
      </c>
      <c r="E3" s="512" t="s">
        <v>437</v>
      </c>
      <c r="F3" s="512" t="s">
        <v>162</v>
      </c>
      <c r="G3" s="512" t="s">
        <v>438</v>
      </c>
    </row>
    <row r="4" spans="1:9" ht="60" customHeight="1">
      <c r="A4" s="770">
        <v>40932</v>
      </c>
      <c r="B4" s="572" t="s">
        <v>163</v>
      </c>
      <c r="C4" s="573" t="s">
        <v>164</v>
      </c>
      <c r="D4" s="574" t="s">
        <v>165</v>
      </c>
      <c r="E4" s="575">
        <v>3</v>
      </c>
      <c r="F4" s="576">
        <v>26</v>
      </c>
      <c r="G4" s="576">
        <v>78</v>
      </c>
      <c r="I4" s="513"/>
    </row>
    <row r="5" spans="1:7" ht="60" customHeight="1">
      <c r="A5" s="771">
        <v>41010</v>
      </c>
      <c r="B5" s="577" t="s">
        <v>236</v>
      </c>
      <c r="C5" s="577" t="s">
        <v>166</v>
      </c>
      <c r="D5" s="574" t="s">
        <v>165</v>
      </c>
      <c r="E5" s="578">
        <v>3</v>
      </c>
      <c r="F5" s="576">
        <v>26</v>
      </c>
      <c r="G5" s="576">
        <v>78</v>
      </c>
    </row>
    <row r="6" spans="1:7" s="520" customFormat="1" ht="15" customHeight="1">
      <c r="A6" s="514" t="s">
        <v>227</v>
      </c>
      <c r="B6" s="515"/>
      <c r="C6" s="516"/>
      <c r="D6" s="517"/>
      <c r="E6" s="517">
        <f>SUM(E4:E5)</f>
        <v>6</v>
      </c>
      <c r="F6" s="518">
        <v>26</v>
      </c>
      <c r="G6" s="519">
        <f>SUM(G4:G5)</f>
        <v>156</v>
      </c>
    </row>
    <row r="7" spans="1:7" ht="15">
      <c r="A7" s="520"/>
      <c r="B7" s="520"/>
      <c r="C7" s="521"/>
      <c r="D7" s="520"/>
      <c r="E7" s="520"/>
      <c r="F7" s="520"/>
      <c r="G7" s="520"/>
    </row>
    <row r="8" spans="3:7" ht="15">
      <c r="C8" s="521"/>
      <c r="G8" s="520"/>
    </row>
  </sheetData>
  <mergeCells count="2">
    <mergeCell ref="A2:G2"/>
    <mergeCell ref="A1:F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7"/>
  </sheetPr>
  <dimension ref="A1:U384"/>
  <sheetViews>
    <sheetView workbookViewId="0" topLeftCell="F1">
      <selection activeCell="A376" sqref="A376:C378"/>
    </sheetView>
  </sheetViews>
  <sheetFormatPr defaultColWidth="9.140625" defaultRowHeight="12.75"/>
  <cols>
    <col min="1" max="3" width="20.7109375" style="559" customWidth="1"/>
    <col min="4" max="4" width="7.57421875" style="724" customWidth="1"/>
    <col min="5" max="5" width="5.7109375" style="725" customWidth="1"/>
    <col min="6" max="6" width="5.7109375" style="724" customWidth="1"/>
    <col min="7" max="8" width="9.7109375" style="724" customWidth="1"/>
    <col min="9" max="10" width="14.421875" style="724" customWidth="1"/>
    <col min="11" max="11" width="10.140625" style="724" customWidth="1"/>
    <col min="12" max="12" width="22.140625" style="665" customWidth="1"/>
    <col min="13" max="13" width="16.00390625" style="559" customWidth="1"/>
    <col min="14" max="14" width="11.57421875" style="768" customWidth="1"/>
    <col min="15" max="15" width="16.421875" style="683" customWidth="1"/>
    <col min="16" max="16" width="17.00390625" style="683" customWidth="1"/>
    <col min="17" max="17" width="12.7109375" style="768" customWidth="1"/>
    <col min="18" max="18" width="15.57421875" style="683" customWidth="1"/>
    <col min="19" max="19" width="16.57421875" style="685" customWidth="1"/>
    <col min="20" max="20" width="16.8515625" style="665" customWidth="1"/>
    <col min="21" max="21" width="20.00390625" style="665" customWidth="1"/>
    <col min="22" max="16384" width="11.57421875" style="665" customWidth="1"/>
  </cols>
  <sheetData>
    <row r="1" spans="1:19" s="628" customFormat="1" ht="30" customHeight="1">
      <c r="A1" s="1134" t="s">
        <v>243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/>
      <c r="R1" s="1149">
        <v>40070171</v>
      </c>
      <c r="S1" s="1150"/>
    </row>
    <row r="2" spans="1:19" s="629" customFormat="1" ht="34.5" customHeight="1">
      <c r="A2" s="1021" t="s">
        <v>457</v>
      </c>
      <c r="B2" s="1021"/>
      <c r="C2" s="1021"/>
      <c r="D2" s="1021"/>
      <c r="E2" s="1021"/>
      <c r="F2" s="1021"/>
      <c r="G2" s="1021"/>
      <c r="H2" s="1021"/>
      <c r="I2" s="1021"/>
      <c r="J2" s="1021"/>
      <c r="K2" s="1021"/>
      <c r="L2" s="1113"/>
      <c r="M2" s="1113"/>
      <c r="N2" s="1113"/>
      <c r="O2" s="1113"/>
      <c r="P2" s="1113"/>
      <c r="Q2" s="1113"/>
      <c r="R2" s="1113"/>
      <c r="S2" s="1113"/>
    </row>
    <row r="3" spans="1:19" s="559" customFormat="1" ht="15" customHeight="1">
      <c r="A3" s="1140" t="s">
        <v>66</v>
      </c>
      <c r="B3" s="1140"/>
      <c r="C3" s="638"/>
      <c r="D3" s="638"/>
      <c r="E3" s="695"/>
      <c r="F3" s="638"/>
      <c r="G3" s="638"/>
      <c r="H3" s="638"/>
      <c r="I3" s="638"/>
      <c r="J3" s="638"/>
      <c r="K3" s="638"/>
      <c r="L3" s="555"/>
      <c r="M3" s="545"/>
      <c r="N3" s="727"/>
      <c r="O3" s="551"/>
      <c r="P3" s="551"/>
      <c r="Q3" s="727"/>
      <c r="R3" s="728"/>
      <c r="S3" s="643"/>
    </row>
    <row r="4" spans="1:19" s="635" customFormat="1" ht="57.75" customHeight="1">
      <c r="A4" s="511" t="s">
        <v>332</v>
      </c>
      <c r="B4" s="511" t="s">
        <v>333</v>
      </c>
      <c r="C4" s="511" t="s">
        <v>213</v>
      </c>
      <c r="D4" s="512" t="s">
        <v>36</v>
      </c>
      <c r="E4" s="512" t="s">
        <v>73</v>
      </c>
      <c r="F4" s="512" t="s">
        <v>74</v>
      </c>
      <c r="G4" s="512" t="s">
        <v>37</v>
      </c>
      <c r="H4" s="512" t="s">
        <v>38</v>
      </c>
      <c r="I4" s="512" t="s">
        <v>15</v>
      </c>
      <c r="J4" s="512" t="s">
        <v>214</v>
      </c>
      <c r="K4" s="512" t="s">
        <v>39</v>
      </c>
      <c r="L4" s="512" t="s">
        <v>84</v>
      </c>
      <c r="M4" s="634" t="s">
        <v>287</v>
      </c>
      <c r="N4" s="729" t="s">
        <v>40</v>
      </c>
      <c r="O4" s="634" t="s">
        <v>57</v>
      </c>
      <c r="P4" s="634" t="s">
        <v>514</v>
      </c>
      <c r="Q4" s="729" t="s">
        <v>40</v>
      </c>
      <c r="R4" s="634" t="s">
        <v>57</v>
      </c>
      <c r="S4" s="511" t="s">
        <v>58</v>
      </c>
    </row>
    <row r="5" spans="1:19" s="731" customFormat="1" ht="15" customHeight="1">
      <c r="A5" s="784"/>
      <c r="B5" s="784"/>
      <c r="C5" s="848"/>
      <c r="D5" s="581">
        <v>1</v>
      </c>
      <c r="E5" s="581">
        <v>1</v>
      </c>
      <c r="F5" s="581"/>
      <c r="G5" s="580"/>
      <c r="H5" s="580">
        <v>1</v>
      </c>
      <c r="I5" s="580" t="s">
        <v>212</v>
      </c>
      <c r="J5" s="580" t="s">
        <v>326</v>
      </c>
      <c r="K5" s="581">
        <v>2005</v>
      </c>
      <c r="L5" s="580" t="s">
        <v>366</v>
      </c>
      <c r="M5" s="646">
        <v>133.5</v>
      </c>
      <c r="N5" s="730">
        <v>20.384</v>
      </c>
      <c r="O5" s="586">
        <f aca="true" t="shared" si="0" ref="O5:O16">M5*N5</f>
        <v>2721.264</v>
      </c>
      <c r="P5" s="646">
        <v>0</v>
      </c>
      <c r="Q5" s="730">
        <v>23.73</v>
      </c>
      <c r="R5" s="586">
        <f aca="true" t="shared" si="1" ref="R5:R30">P5*Q5</f>
        <v>0</v>
      </c>
      <c r="S5" s="586">
        <f aca="true" t="shared" si="2" ref="S5:S34">O5+R5</f>
        <v>2721.264</v>
      </c>
    </row>
    <row r="6" spans="1:19" s="731" customFormat="1" ht="15" customHeight="1">
      <c r="A6" s="784"/>
      <c r="B6" s="784"/>
      <c r="C6" s="848"/>
      <c r="D6" s="581">
        <v>1</v>
      </c>
      <c r="E6" s="581">
        <v>1</v>
      </c>
      <c r="F6" s="581"/>
      <c r="G6" s="581"/>
      <c r="H6" s="581">
        <v>1</v>
      </c>
      <c r="I6" s="580" t="s">
        <v>424</v>
      </c>
      <c r="J6" s="580" t="s">
        <v>424</v>
      </c>
      <c r="K6" s="581">
        <v>2002</v>
      </c>
      <c r="L6" s="580" t="s">
        <v>276</v>
      </c>
      <c r="M6" s="646">
        <v>141.5</v>
      </c>
      <c r="N6" s="730">
        <v>20.384</v>
      </c>
      <c r="O6" s="586">
        <f t="shared" si="0"/>
        <v>2884.3360000000002</v>
      </c>
      <c r="P6" s="646">
        <v>89.48</v>
      </c>
      <c r="Q6" s="730">
        <v>23.73</v>
      </c>
      <c r="R6" s="586">
        <f t="shared" si="1"/>
        <v>2123.3604</v>
      </c>
      <c r="S6" s="586">
        <f t="shared" si="2"/>
        <v>5007.696400000001</v>
      </c>
    </row>
    <row r="7" spans="1:19" s="731" customFormat="1" ht="15" customHeight="1">
      <c r="A7" s="784"/>
      <c r="B7" s="850"/>
      <c r="C7" s="848"/>
      <c r="D7" s="581">
        <v>1</v>
      </c>
      <c r="E7" s="581"/>
      <c r="F7" s="581">
        <v>1</v>
      </c>
      <c r="G7" s="581"/>
      <c r="H7" s="581">
        <v>1</v>
      </c>
      <c r="I7" s="580" t="s">
        <v>212</v>
      </c>
      <c r="J7" s="580" t="s">
        <v>31</v>
      </c>
      <c r="K7" s="581">
        <v>2001</v>
      </c>
      <c r="L7" s="580" t="s">
        <v>275</v>
      </c>
      <c r="M7" s="646">
        <v>0</v>
      </c>
      <c r="N7" s="730">
        <v>20.384</v>
      </c>
      <c r="O7" s="586">
        <f t="shared" si="0"/>
        <v>0</v>
      </c>
      <c r="P7" s="646">
        <v>90.36</v>
      </c>
      <c r="Q7" s="730">
        <v>23.73</v>
      </c>
      <c r="R7" s="586">
        <f t="shared" si="1"/>
        <v>2144.2428</v>
      </c>
      <c r="S7" s="586">
        <f t="shared" si="2"/>
        <v>2144.2428</v>
      </c>
    </row>
    <row r="8" spans="1:19" s="731" customFormat="1" ht="15" customHeight="1">
      <c r="A8" s="784"/>
      <c r="B8" s="850"/>
      <c r="C8" s="848"/>
      <c r="D8" s="581">
        <v>1</v>
      </c>
      <c r="E8" s="581">
        <v>1</v>
      </c>
      <c r="F8" s="732"/>
      <c r="G8" s="732"/>
      <c r="H8" s="581">
        <v>1</v>
      </c>
      <c r="I8" s="580" t="s">
        <v>212</v>
      </c>
      <c r="J8" s="580" t="s">
        <v>31</v>
      </c>
      <c r="K8" s="581">
        <v>2004</v>
      </c>
      <c r="L8" s="580" t="s">
        <v>275</v>
      </c>
      <c r="M8" s="646">
        <v>0</v>
      </c>
      <c r="N8" s="730">
        <v>20.384</v>
      </c>
      <c r="O8" s="586">
        <f t="shared" si="0"/>
        <v>0</v>
      </c>
      <c r="P8" s="646">
        <v>87.98</v>
      </c>
      <c r="Q8" s="730">
        <v>23.73</v>
      </c>
      <c r="R8" s="586">
        <f t="shared" si="1"/>
        <v>2087.7654</v>
      </c>
      <c r="S8" s="586">
        <f t="shared" si="2"/>
        <v>2087.7654</v>
      </c>
    </row>
    <row r="9" spans="1:19" s="731" customFormat="1" ht="15" customHeight="1">
      <c r="A9" s="784"/>
      <c r="B9" s="784"/>
      <c r="C9" s="848"/>
      <c r="D9" s="581">
        <v>1</v>
      </c>
      <c r="E9" s="581"/>
      <c r="F9" s="581">
        <v>1</v>
      </c>
      <c r="G9" s="581">
        <v>1</v>
      </c>
      <c r="H9" s="581"/>
      <c r="I9" s="580" t="s">
        <v>212</v>
      </c>
      <c r="J9" s="580" t="s">
        <v>212</v>
      </c>
      <c r="K9" s="581">
        <v>2001</v>
      </c>
      <c r="L9" s="580" t="s">
        <v>276</v>
      </c>
      <c r="M9" s="646">
        <v>128</v>
      </c>
      <c r="N9" s="730">
        <v>20.384</v>
      </c>
      <c r="O9" s="586">
        <f t="shared" si="0"/>
        <v>2609.152</v>
      </c>
      <c r="P9" s="646">
        <v>134.48</v>
      </c>
      <c r="Q9" s="730">
        <v>23.73</v>
      </c>
      <c r="R9" s="586">
        <f t="shared" si="1"/>
        <v>3191.2104</v>
      </c>
      <c r="S9" s="586">
        <f t="shared" si="2"/>
        <v>5800.3624</v>
      </c>
    </row>
    <row r="10" spans="1:19" s="731" customFormat="1" ht="15" customHeight="1">
      <c r="A10" s="784"/>
      <c r="B10" s="784"/>
      <c r="C10" s="848"/>
      <c r="D10" s="581">
        <v>1</v>
      </c>
      <c r="E10" s="581"/>
      <c r="F10" s="581">
        <v>1</v>
      </c>
      <c r="G10" s="581">
        <v>1</v>
      </c>
      <c r="H10" s="581"/>
      <c r="I10" s="580" t="s">
        <v>212</v>
      </c>
      <c r="J10" s="580" t="s">
        <v>212</v>
      </c>
      <c r="K10" s="581">
        <v>2001</v>
      </c>
      <c r="L10" s="580" t="s">
        <v>276</v>
      </c>
      <c r="M10" s="646">
        <v>126</v>
      </c>
      <c r="N10" s="730">
        <v>20.384</v>
      </c>
      <c r="O10" s="586">
        <f t="shared" si="0"/>
        <v>2568.384</v>
      </c>
      <c r="P10" s="646">
        <v>91.86</v>
      </c>
      <c r="Q10" s="730">
        <v>23.73</v>
      </c>
      <c r="R10" s="586">
        <f t="shared" si="1"/>
        <v>2179.8378000000002</v>
      </c>
      <c r="S10" s="586">
        <f t="shared" si="2"/>
        <v>4748.2218</v>
      </c>
    </row>
    <row r="11" spans="1:19" s="731" customFormat="1" ht="15" customHeight="1">
      <c r="A11" s="784"/>
      <c r="B11" s="784"/>
      <c r="C11" s="848"/>
      <c r="D11" s="581">
        <v>1</v>
      </c>
      <c r="E11" s="581">
        <v>1</v>
      </c>
      <c r="F11" s="581"/>
      <c r="G11" s="581">
        <v>1</v>
      </c>
      <c r="H11" s="581"/>
      <c r="I11" s="580" t="s">
        <v>212</v>
      </c>
      <c r="J11" s="580" t="s">
        <v>212</v>
      </c>
      <c r="K11" s="580">
        <v>2002</v>
      </c>
      <c r="L11" s="580" t="s">
        <v>276</v>
      </c>
      <c r="M11" s="646">
        <v>128</v>
      </c>
      <c r="N11" s="730">
        <v>20.384</v>
      </c>
      <c r="O11" s="586">
        <f t="shared" si="0"/>
        <v>2609.152</v>
      </c>
      <c r="P11" s="646">
        <v>83.86</v>
      </c>
      <c r="Q11" s="730">
        <v>23.73</v>
      </c>
      <c r="R11" s="586">
        <f t="shared" si="1"/>
        <v>1989.9978</v>
      </c>
      <c r="S11" s="586">
        <f t="shared" si="2"/>
        <v>4599.1498</v>
      </c>
    </row>
    <row r="12" spans="1:19" s="731" customFormat="1" ht="15" customHeight="1">
      <c r="A12" s="784"/>
      <c r="B12" s="784"/>
      <c r="C12" s="848"/>
      <c r="D12" s="581">
        <v>1</v>
      </c>
      <c r="E12" s="581"/>
      <c r="F12" s="581">
        <v>1</v>
      </c>
      <c r="G12" s="581">
        <v>1</v>
      </c>
      <c r="H12" s="581"/>
      <c r="I12" s="580" t="s">
        <v>212</v>
      </c>
      <c r="J12" s="580" t="s">
        <v>212</v>
      </c>
      <c r="K12" s="581">
        <v>2001</v>
      </c>
      <c r="L12" s="580" t="s">
        <v>276</v>
      </c>
      <c r="M12" s="646">
        <v>129.5</v>
      </c>
      <c r="N12" s="730">
        <v>20.384</v>
      </c>
      <c r="O12" s="586">
        <f t="shared" si="0"/>
        <v>2639.728</v>
      </c>
      <c r="P12" s="646">
        <v>81.36</v>
      </c>
      <c r="Q12" s="730">
        <v>23.73</v>
      </c>
      <c r="R12" s="586">
        <f t="shared" si="1"/>
        <v>1930.6728</v>
      </c>
      <c r="S12" s="586">
        <f t="shared" si="2"/>
        <v>4570.4008</v>
      </c>
    </row>
    <row r="13" spans="1:19" s="731" customFormat="1" ht="15" customHeight="1">
      <c r="A13" s="784"/>
      <c r="B13" s="784"/>
      <c r="C13" s="848"/>
      <c r="D13" s="581">
        <v>1</v>
      </c>
      <c r="E13" s="581"/>
      <c r="F13" s="581">
        <v>1</v>
      </c>
      <c r="G13" s="581"/>
      <c r="H13" s="581">
        <v>1</v>
      </c>
      <c r="I13" s="580" t="s">
        <v>212</v>
      </c>
      <c r="J13" s="580" t="s">
        <v>18</v>
      </c>
      <c r="K13" s="581">
        <v>2008</v>
      </c>
      <c r="L13" s="580" t="s">
        <v>276</v>
      </c>
      <c r="M13" s="646">
        <v>136</v>
      </c>
      <c r="N13" s="730">
        <v>20.384</v>
      </c>
      <c r="O13" s="586">
        <f t="shared" si="0"/>
        <v>2772.224</v>
      </c>
      <c r="P13" s="646">
        <v>86.86</v>
      </c>
      <c r="Q13" s="730">
        <v>23.73</v>
      </c>
      <c r="R13" s="586">
        <f t="shared" si="1"/>
        <v>2061.1878</v>
      </c>
      <c r="S13" s="586">
        <f t="shared" si="2"/>
        <v>4833.4118</v>
      </c>
    </row>
    <row r="14" spans="1:19" s="731" customFormat="1" ht="15" customHeight="1">
      <c r="A14" s="784"/>
      <c r="B14" s="784"/>
      <c r="C14" s="848"/>
      <c r="D14" s="581">
        <v>1</v>
      </c>
      <c r="E14" s="581">
        <v>1</v>
      </c>
      <c r="F14" s="581"/>
      <c r="G14" s="581">
        <v>1</v>
      </c>
      <c r="H14" s="581"/>
      <c r="I14" s="580" t="s">
        <v>212</v>
      </c>
      <c r="J14" s="580" t="s">
        <v>212</v>
      </c>
      <c r="K14" s="581">
        <v>2009</v>
      </c>
      <c r="L14" s="580" t="s">
        <v>276</v>
      </c>
      <c r="M14" s="646">
        <v>463</v>
      </c>
      <c r="N14" s="730">
        <v>20.384</v>
      </c>
      <c r="O14" s="586">
        <f t="shared" si="0"/>
        <v>9437.792</v>
      </c>
      <c r="P14" s="646">
        <v>318.73</v>
      </c>
      <c r="Q14" s="730">
        <v>23.73</v>
      </c>
      <c r="R14" s="586">
        <f t="shared" si="1"/>
        <v>7563.4629</v>
      </c>
      <c r="S14" s="586">
        <f t="shared" si="2"/>
        <v>17001.2549</v>
      </c>
    </row>
    <row r="15" spans="1:19" s="731" customFormat="1" ht="15" customHeight="1">
      <c r="A15" s="784"/>
      <c r="B15" s="784"/>
      <c r="C15" s="848"/>
      <c r="D15" s="580">
        <v>1</v>
      </c>
      <c r="E15" s="581">
        <v>1</v>
      </c>
      <c r="F15" s="581"/>
      <c r="G15" s="581"/>
      <c r="H15" s="581">
        <v>1</v>
      </c>
      <c r="I15" s="580" t="s">
        <v>326</v>
      </c>
      <c r="J15" s="580" t="s">
        <v>326</v>
      </c>
      <c r="K15" s="581">
        <v>1992</v>
      </c>
      <c r="L15" s="580" t="s">
        <v>53</v>
      </c>
      <c r="M15" s="646">
        <v>134.5</v>
      </c>
      <c r="N15" s="730">
        <v>20.384</v>
      </c>
      <c r="O15" s="586">
        <f t="shared" si="0"/>
        <v>2741.648</v>
      </c>
      <c r="P15" s="646">
        <v>0</v>
      </c>
      <c r="Q15" s="730">
        <v>23.73</v>
      </c>
      <c r="R15" s="586">
        <f t="shared" si="1"/>
        <v>0</v>
      </c>
      <c r="S15" s="586">
        <f t="shared" si="2"/>
        <v>2741.648</v>
      </c>
    </row>
    <row r="16" spans="1:19" s="731" customFormat="1" ht="15" customHeight="1">
      <c r="A16" s="784"/>
      <c r="B16" s="784"/>
      <c r="C16" s="848"/>
      <c r="D16" s="580">
        <v>1</v>
      </c>
      <c r="E16" s="581">
        <v>1</v>
      </c>
      <c r="F16" s="580"/>
      <c r="G16" s="581">
        <v>1</v>
      </c>
      <c r="H16" s="580"/>
      <c r="I16" s="580" t="s">
        <v>212</v>
      </c>
      <c r="J16" s="580" t="s">
        <v>212</v>
      </c>
      <c r="K16" s="581">
        <v>1997</v>
      </c>
      <c r="L16" s="580" t="s">
        <v>276</v>
      </c>
      <c r="M16" s="646">
        <v>113.5</v>
      </c>
      <c r="N16" s="730">
        <v>20.384</v>
      </c>
      <c r="O16" s="586">
        <f t="shared" si="0"/>
        <v>2313.584</v>
      </c>
      <c r="P16" s="646">
        <v>2</v>
      </c>
      <c r="Q16" s="730">
        <v>23.73</v>
      </c>
      <c r="R16" s="586">
        <f t="shared" si="1"/>
        <v>47.46</v>
      </c>
      <c r="S16" s="586">
        <f t="shared" si="2"/>
        <v>2361.044</v>
      </c>
    </row>
    <row r="17" spans="1:19" s="731" customFormat="1" ht="15" customHeight="1">
      <c r="A17" s="784"/>
      <c r="B17" s="850"/>
      <c r="C17" s="848"/>
      <c r="D17" s="580">
        <v>1</v>
      </c>
      <c r="E17" s="581"/>
      <c r="F17" s="581">
        <v>1</v>
      </c>
      <c r="G17" s="581">
        <v>1</v>
      </c>
      <c r="H17" s="581"/>
      <c r="I17" s="580" t="s">
        <v>212</v>
      </c>
      <c r="J17" s="580" t="s">
        <v>212</v>
      </c>
      <c r="K17" s="581">
        <v>2007</v>
      </c>
      <c r="L17" s="580" t="s">
        <v>276</v>
      </c>
      <c r="M17" s="646">
        <v>162.25</v>
      </c>
      <c r="N17" s="730">
        <v>20.384</v>
      </c>
      <c r="O17" s="586">
        <f>M17*N18</f>
        <v>3307.304</v>
      </c>
      <c r="P17" s="646">
        <v>89.03</v>
      </c>
      <c r="Q17" s="730">
        <v>23.73</v>
      </c>
      <c r="R17" s="586">
        <f t="shared" si="1"/>
        <v>2112.6819</v>
      </c>
      <c r="S17" s="586">
        <f t="shared" si="2"/>
        <v>5419.9859</v>
      </c>
    </row>
    <row r="18" spans="1:19" s="731" customFormat="1" ht="15" customHeight="1">
      <c r="A18" s="784"/>
      <c r="B18" s="784"/>
      <c r="C18" s="848"/>
      <c r="D18" s="580">
        <v>1</v>
      </c>
      <c r="E18" s="580">
        <v>1</v>
      </c>
      <c r="F18" s="580"/>
      <c r="G18" s="581">
        <v>1</v>
      </c>
      <c r="H18" s="580"/>
      <c r="I18" s="580" t="s">
        <v>212</v>
      </c>
      <c r="J18" s="580" t="s">
        <v>212</v>
      </c>
      <c r="K18" s="581">
        <v>2003</v>
      </c>
      <c r="L18" s="580" t="s">
        <v>276</v>
      </c>
      <c r="M18" s="646">
        <v>136</v>
      </c>
      <c r="N18" s="730">
        <v>20.384</v>
      </c>
      <c r="O18" s="586">
        <f aca="true" t="shared" si="3" ref="O18:O34">M18*N18</f>
        <v>2772.224</v>
      </c>
      <c r="P18" s="646">
        <v>89.48</v>
      </c>
      <c r="Q18" s="730">
        <v>23.73</v>
      </c>
      <c r="R18" s="586">
        <f t="shared" si="1"/>
        <v>2123.3604</v>
      </c>
      <c r="S18" s="586">
        <f t="shared" si="2"/>
        <v>4895.5844</v>
      </c>
    </row>
    <row r="19" spans="1:19" s="731" customFormat="1" ht="15" customHeight="1">
      <c r="A19" s="784"/>
      <c r="B19" s="784"/>
      <c r="C19" s="848"/>
      <c r="D19" s="580">
        <v>1</v>
      </c>
      <c r="E19" s="581"/>
      <c r="F19" s="581">
        <v>1</v>
      </c>
      <c r="G19" s="581">
        <v>1</v>
      </c>
      <c r="H19" s="581"/>
      <c r="I19" s="580" t="s">
        <v>212</v>
      </c>
      <c r="J19" s="580" t="s">
        <v>212</v>
      </c>
      <c r="K19" s="581">
        <v>2007</v>
      </c>
      <c r="L19" s="580" t="s">
        <v>276</v>
      </c>
      <c r="M19" s="646">
        <v>152.25</v>
      </c>
      <c r="N19" s="730">
        <v>20.384</v>
      </c>
      <c r="O19" s="586">
        <f t="shared" si="3"/>
        <v>3103.464</v>
      </c>
      <c r="P19" s="646">
        <v>86.03</v>
      </c>
      <c r="Q19" s="730">
        <v>23.73</v>
      </c>
      <c r="R19" s="586">
        <f t="shared" si="1"/>
        <v>2041.4919</v>
      </c>
      <c r="S19" s="586">
        <f t="shared" si="2"/>
        <v>5144.9559</v>
      </c>
    </row>
    <row r="20" spans="1:19" s="731" customFormat="1" ht="15" customHeight="1">
      <c r="A20" s="784"/>
      <c r="B20" s="850"/>
      <c r="C20" s="848"/>
      <c r="D20" s="580">
        <v>1</v>
      </c>
      <c r="E20" s="581"/>
      <c r="F20" s="581">
        <v>1</v>
      </c>
      <c r="G20" s="581"/>
      <c r="H20" s="581">
        <v>1</v>
      </c>
      <c r="I20" s="580" t="s">
        <v>212</v>
      </c>
      <c r="J20" s="580" t="s">
        <v>335</v>
      </c>
      <c r="K20" s="581">
        <v>1997</v>
      </c>
      <c r="L20" s="580" t="s">
        <v>288</v>
      </c>
      <c r="M20" s="646">
        <v>134.5</v>
      </c>
      <c r="N20" s="730">
        <v>20.384</v>
      </c>
      <c r="O20" s="586">
        <f t="shared" si="3"/>
        <v>2741.648</v>
      </c>
      <c r="P20" s="646">
        <v>117.48</v>
      </c>
      <c r="Q20" s="730">
        <v>23.73</v>
      </c>
      <c r="R20" s="586">
        <f t="shared" si="1"/>
        <v>2787.8004</v>
      </c>
      <c r="S20" s="586">
        <f t="shared" si="2"/>
        <v>5529.4484</v>
      </c>
    </row>
    <row r="21" spans="1:19" s="731" customFormat="1" ht="15" customHeight="1">
      <c r="A21" s="784"/>
      <c r="B21" s="850"/>
      <c r="C21" s="848"/>
      <c r="D21" s="580">
        <v>1</v>
      </c>
      <c r="E21" s="581">
        <v>1</v>
      </c>
      <c r="F21" s="581"/>
      <c r="G21" s="581">
        <v>1</v>
      </c>
      <c r="H21" s="581"/>
      <c r="I21" s="580" t="s">
        <v>212</v>
      </c>
      <c r="J21" s="580" t="s">
        <v>212</v>
      </c>
      <c r="K21" s="581">
        <v>1999</v>
      </c>
      <c r="L21" s="580" t="s">
        <v>288</v>
      </c>
      <c r="M21" s="646">
        <v>323.25</v>
      </c>
      <c r="N21" s="730">
        <v>20.384</v>
      </c>
      <c r="O21" s="586">
        <f t="shared" si="3"/>
        <v>6589.128</v>
      </c>
      <c r="P21" s="646">
        <v>215.48</v>
      </c>
      <c r="Q21" s="730">
        <v>23.73</v>
      </c>
      <c r="R21" s="586">
        <f t="shared" si="1"/>
        <v>5113.3404</v>
      </c>
      <c r="S21" s="586">
        <f t="shared" si="2"/>
        <v>11702.4684</v>
      </c>
    </row>
    <row r="22" spans="1:19" s="731" customFormat="1" ht="15" customHeight="1">
      <c r="A22" s="784"/>
      <c r="B22" s="784"/>
      <c r="C22" s="848"/>
      <c r="D22" s="580">
        <v>1</v>
      </c>
      <c r="E22" s="581">
        <v>1</v>
      </c>
      <c r="F22" s="581"/>
      <c r="G22" s="581"/>
      <c r="H22" s="581">
        <v>1</v>
      </c>
      <c r="I22" s="580" t="s">
        <v>212</v>
      </c>
      <c r="J22" s="580" t="s">
        <v>335</v>
      </c>
      <c r="K22" s="580">
        <v>2003</v>
      </c>
      <c r="L22" s="580" t="s">
        <v>276</v>
      </c>
      <c r="M22" s="646">
        <v>357</v>
      </c>
      <c r="N22" s="730">
        <v>20.384</v>
      </c>
      <c r="O22" s="586">
        <f t="shared" si="3"/>
        <v>7277.088</v>
      </c>
      <c r="P22" s="646">
        <f>170.86+18.86</f>
        <v>189.72000000000003</v>
      </c>
      <c r="Q22" s="730">
        <v>23.73</v>
      </c>
      <c r="R22" s="586">
        <f t="shared" si="1"/>
        <v>4502.055600000001</v>
      </c>
      <c r="S22" s="586">
        <f t="shared" si="2"/>
        <v>11779.1436</v>
      </c>
    </row>
    <row r="23" spans="1:19" s="731" customFormat="1" ht="15" customHeight="1">
      <c r="A23" s="784"/>
      <c r="B23" s="850"/>
      <c r="C23" s="848"/>
      <c r="D23" s="580">
        <v>1</v>
      </c>
      <c r="E23" s="581">
        <v>1</v>
      </c>
      <c r="F23" s="581"/>
      <c r="G23" s="581"/>
      <c r="H23" s="581">
        <v>1</v>
      </c>
      <c r="I23" s="580" t="s">
        <v>17</v>
      </c>
      <c r="J23" s="580" t="s">
        <v>17</v>
      </c>
      <c r="K23" s="580">
        <v>2003</v>
      </c>
      <c r="L23" s="580" t="s">
        <v>275</v>
      </c>
      <c r="M23" s="646">
        <v>0</v>
      </c>
      <c r="N23" s="730">
        <v>20.384</v>
      </c>
      <c r="O23" s="586">
        <f t="shared" si="3"/>
        <v>0</v>
      </c>
      <c r="P23" s="646">
        <v>76.86</v>
      </c>
      <c r="Q23" s="730">
        <v>23.73</v>
      </c>
      <c r="R23" s="586">
        <f t="shared" si="1"/>
        <v>1823.8878</v>
      </c>
      <c r="S23" s="586">
        <f t="shared" si="2"/>
        <v>1823.8878</v>
      </c>
    </row>
    <row r="24" spans="1:19" s="731" customFormat="1" ht="15" customHeight="1">
      <c r="A24" s="784"/>
      <c r="B24" s="850"/>
      <c r="C24" s="848"/>
      <c r="D24" s="580">
        <v>1</v>
      </c>
      <c r="E24" s="581">
        <v>1</v>
      </c>
      <c r="F24" s="581"/>
      <c r="G24" s="581"/>
      <c r="H24" s="581">
        <v>1</v>
      </c>
      <c r="I24" s="580" t="s">
        <v>45</v>
      </c>
      <c r="J24" s="580" t="s">
        <v>45</v>
      </c>
      <c r="K24" s="581">
        <v>2002</v>
      </c>
      <c r="L24" s="580" t="s">
        <v>276</v>
      </c>
      <c r="M24" s="646">
        <v>137</v>
      </c>
      <c r="N24" s="730">
        <v>20.384</v>
      </c>
      <c r="O24" s="586">
        <f t="shared" si="3"/>
        <v>2792.608</v>
      </c>
      <c r="P24" s="646">
        <v>85.98</v>
      </c>
      <c r="Q24" s="730">
        <v>23.73</v>
      </c>
      <c r="R24" s="586">
        <f t="shared" si="1"/>
        <v>2040.3054000000002</v>
      </c>
      <c r="S24" s="586">
        <f t="shared" si="2"/>
        <v>4832.9134</v>
      </c>
    </row>
    <row r="25" spans="1:19" s="731" customFormat="1" ht="15" customHeight="1">
      <c r="A25" s="784"/>
      <c r="B25" s="850"/>
      <c r="C25" s="848"/>
      <c r="D25" s="580">
        <v>1</v>
      </c>
      <c r="E25" s="581"/>
      <c r="F25" s="581">
        <v>1</v>
      </c>
      <c r="G25" s="581">
        <v>1</v>
      </c>
      <c r="H25" s="581"/>
      <c r="I25" s="580" t="s">
        <v>212</v>
      </c>
      <c r="J25" s="580" t="s">
        <v>212</v>
      </c>
      <c r="K25" s="581">
        <v>2000</v>
      </c>
      <c r="L25" s="580" t="s">
        <v>288</v>
      </c>
      <c r="M25" s="646">
        <v>133.5</v>
      </c>
      <c r="N25" s="730">
        <v>20.384</v>
      </c>
      <c r="O25" s="586">
        <f t="shared" si="3"/>
        <v>2721.264</v>
      </c>
      <c r="P25" s="646">
        <v>89.48</v>
      </c>
      <c r="Q25" s="730">
        <v>23.73</v>
      </c>
      <c r="R25" s="586">
        <f t="shared" si="1"/>
        <v>2123.3604</v>
      </c>
      <c r="S25" s="586">
        <f t="shared" si="2"/>
        <v>4844.624400000001</v>
      </c>
    </row>
    <row r="26" spans="1:19" s="731" customFormat="1" ht="15" customHeight="1">
      <c r="A26" s="784"/>
      <c r="B26" s="850"/>
      <c r="C26" s="848"/>
      <c r="D26" s="580">
        <v>1</v>
      </c>
      <c r="E26" s="581">
        <v>1</v>
      </c>
      <c r="F26" s="581"/>
      <c r="G26" s="581">
        <v>1</v>
      </c>
      <c r="H26" s="581"/>
      <c r="I26" s="580" t="s">
        <v>212</v>
      </c>
      <c r="J26" s="580" t="s">
        <v>212</v>
      </c>
      <c r="K26" s="581">
        <v>1994</v>
      </c>
      <c r="L26" s="580" t="s">
        <v>276</v>
      </c>
      <c r="M26" s="646">
        <v>238.26</v>
      </c>
      <c r="N26" s="730">
        <v>20.384</v>
      </c>
      <c r="O26" s="586">
        <f t="shared" si="3"/>
        <v>4856.6918399999995</v>
      </c>
      <c r="P26" s="646">
        <v>149.36</v>
      </c>
      <c r="Q26" s="730">
        <v>23.73</v>
      </c>
      <c r="R26" s="586">
        <f t="shared" si="1"/>
        <v>3544.3128000000006</v>
      </c>
      <c r="S26" s="586">
        <f t="shared" si="2"/>
        <v>8401.00464</v>
      </c>
    </row>
    <row r="27" spans="1:19" s="731" customFormat="1" ht="15" customHeight="1">
      <c r="A27" s="784"/>
      <c r="B27" s="850"/>
      <c r="C27" s="848"/>
      <c r="D27" s="580">
        <v>1</v>
      </c>
      <c r="E27" s="581"/>
      <c r="F27" s="581">
        <v>1</v>
      </c>
      <c r="G27" s="581"/>
      <c r="H27" s="581">
        <v>1</v>
      </c>
      <c r="I27" s="580" t="s">
        <v>212</v>
      </c>
      <c r="J27" s="580" t="s">
        <v>477</v>
      </c>
      <c r="K27" s="581">
        <v>2005</v>
      </c>
      <c r="L27" s="580" t="s">
        <v>276</v>
      </c>
      <c r="M27" s="646">
        <v>157</v>
      </c>
      <c r="N27" s="730">
        <v>20.384</v>
      </c>
      <c r="O27" s="586">
        <f t="shared" si="3"/>
        <v>3200.288</v>
      </c>
      <c r="P27" s="646">
        <v>90</v>
      </c>
      <c r="Q27" s="730">
        <v>23.73</v>
      </c>
      <c r="R27" s="586">
        <f t="shared" si="1"/>
        <v>2135.7</v>
      </c>
      <c r="S27" s="586">
        <f t="shared" si="2"/>
        <v>5335.987999999999</v>
      </c>
    </row>
    <row r="28" spans="1:19" s="731" customFormat="1" ht="15" customHeight="1">
      <c r="A28" s="784"/>
      <c r="B28" s="850"/>
      <c r="C28" s="848"/>
      <c r="D28" s="580">
        <v>1</v>
      </c>
      <c r="E28" s="581"/>
      <c r="F28" s="581">
        <v>1</v>
      </c>
      <c r="G28" s="581"/>
      <c r="H28" s="581">
        <v>1</v>
      </c>
      <c r="I28" s="580" t="s">
        <v>212</v>
      </c>
      <c r="J28" s="580" t="s">
        <v>327</v>
      </c>
      <c r="K28" s="581">
        <v>2007</v>
      </c>
      <c r="L28" s="580" t="s">
        <v>276</v>
      </c>
      <c r="M28" s="646">
        <v>431.25</v>
      </c>
      <c r="N28" s="730">
        <v>20.384</v>
      </c>
      <c r="O28" s="586">
        <f t="shared" si="3"/>
        <v>8790.6</v>
      </c>
      <c r="P28" s="646">
        <f>128.98+131.98</f>
        <v>260.96</v>
      </c>
      <c r="Q28" s="730">
        <v>23.73</v>
      </c>
      <c r="R28" s="586">
        <f t="shared" si="1"/>
        <v>6192.5808</v>
      </c>
      <c r="S28" s="586">
        <f t="shared" si="2"/>
        <v>14983.1808</v>
      </c>
    </row>
    <row r="29" spans="1:19" s="731" customFormat="1" ht="15" customHeight="1">
      <c r="A29" s="784"/>
      <c r="B29" s="850"/>
      <c r="C29" s="848"/>
      <c r="D29" s="580">
        <v>1</v>
      </c>
      <c r="E29" s="581">
        <v>1</v>
      </c>
      <c r="F29" s="581"/>
      <c r="G29" s="581">
        <v>1</v>
      </c>
      <c r="H29" s="581"/>
      <c r="I29" s="580" t="s">
        <v>212</v>
      </c>
      <c r="J29" s="580" t="s">
        <v>212</v>
      </c>
      <c r="K29" s="581">
        <v>2006</v>
      </c>
      <c r="L29" s="580" t="s">
        <v>276</v>
      </c>
      <c r="M29" s="646">
        <f>140.75+2.5</f>
        <v>143.25</v>
      </c>
      <c r="N29" s="730">
        <v>20.384</v>
      </c>
      <c r="O29" s="586">
        <f t="shared" si="3"/>
        <v>2920.0080000000003</v>
      </c>
      <c r="P29" s="646">
        <f>79.36</f>
        <v>79.36</v>
      </c>
      <c r="Q29" s="730">
        <v>23.73</v>
      </c>
      <c r="R29" s="586">
        <f t="shared" si="1"/>
        <v>1883.2128</v>
      </c>
      <c r="S29" s="586">
        <f t="shared" si="2"/>
        <v>4803.2208</v>
      </c>
    </row>
    <row r="30" spans="1:20" s="731" customFormat="1" ht="15" customHeight="1">
      <c r="A30" s="784"/>
      <c r="B30" s="850"/>
      <c r="C30" s="848"/>
      <c r="D30" s="580">
        <v>1</v>
      </c>
      <c r="E30" s="581"/>
      <c r="F30" s="581">
        <v>1</v>
      </c>
      <c r="G30" s="581">
        <v>1</v>
      </c>
      <c r="H30" s="581"/>
      <c r="I30" s="580" t="s">
        <v>212</v>
      </c>
      <c r="J30" s="580" t="s">
        <v>212</v>
      </c>
      <c r="K30" s="581">
        <v>2003</v>
      </c>
      <c r="L30" s="580" t="s">
        <v>276</v>
      </c>
      <c r="M30" s="646">
        <v>132.5</v>
      </c>
      <c r="N30" s="730">
        <v>20.384</v>
      </c>
      <c r="O30" s="586">
        <f t="shared" si="3"/>
        <v>2700.88</v>
      </c>
      <c r="P30" s="646">
        <v>87.98</v>
      </c>
      <c r="Q30" s="730">
        <v>23.73</v>
      </c>
      <c r="R30" s="586">
        <f t="shared" si="1"/>
        <v>2087.7654</v>
      </c>
      <c r="S30" s="586">
        <f t="shared" si="2"/>
        <v>4788.6454</v>
      </c>
      <c r="T30" s="733"/>
    </row>
    <row r="31" spans="1:19" s="731" customFormat="1" ht="15" customHeight="1">
      <c r="A31" s="780" t="s">
        <v>104</v>
      </c>
      <c r="B31" s="781"/>
      <c r="C31" s="578"/>
      <c r="D31" s="578"/>
      <c r="E31" s="734"/>
      <c r="F31" s="578"/>
      <c r="G31" s="578"/>
      <c r="H31" s="578"/>
      <c r="I31" s="578"/>
      <c r="J31" s="578"/>
      <c r="K31" s="578"/>
      <c r="L31" s="580" t="s">
        <v>276</v>
      </c>
      <c r="M31" s="646">
        <v>145</v>
      </c>
      <c r="N31" s="730">
        <v>20.384</v>
      </c>
      <c r="O31" s="586">
        <f t="shared" si="3"/>
        <v>2955.68</v>
      </c>
      <c r="P31" s="646">
        <v>44</v>
      </c>
      <c r="Q31" s="730">
        <v>23.73</v>
      </c>
      <c r="R31" s="586">
        <f>P31*Q31</f>
        <v>1044.1200000000001</v>
      </c>
      <c r="S31" s="586">
        <f t="shared" si="2"/>
        <v>3999.8</v>
      </c>
    </row>
    <row r="32" spans="1:19" s="731" customFormat="1" ht="15" customHeight="1">
      <c r="A32" s="780" t="s">
        <v>370</v>
      </c>
      <c r="B32" s="781"/>
      <c r="C32" s="578"/>
      <c r="D32" s="578"/>
      <c r="E32" s="734"/>
      <c r="F32" s="578"/>
      <c r="G32" s="578"/>
      <c r="H32" s="578"/>
      <c r="I32" s="578"/>
      <c r="J32" s="578"/>
      <c r="K32" s="578"/>
      <c r="L32" s="580" t="s">
        <v>275</v>
      </c>
      <c r="M32" s="646">
        <v>0</v>
      </c>
      <c r="N32" s="730">
        <v>20.384</v>
      </c>
      <c r="O32" s="586">
        <f t="shared" si="3"/>
        <v>0</v>
      </c>
      <c r="P32" s="646">
        <v>68.5</v>
      </c>
      <c r="Q32" s="730">
        <v>23.73</v>
      </c>
      <c r="R32" s="586">
        <f>P32*Q32</f>
        <v>1625.505</v>
      </c>
      <c r="S32" s="586">
        <f t="shared" si="2"/>
        <v>1625.505</v>
      </c>
    </row>
    <row r="33" spans="1:19" s="731" customFormat="1" ht="15" customHeight="1">
      <c r="A33" s="780" t="s">
        <v>175</v>
      </c>
      <c r="B33" s="781"/>
      <c r="C33" s="578"/>
      <c r="D33" s="578"/>
      <c r="E33" s="734"/>
      <c r="F33" s="578"/>
      <c r="G33" s="578"/>
      <c r="H33" s="578"/>
      <c r="I33" s="578"/>
      <c r="J33" s="578"/>
      <c r="K33" s="578"/>
      <c r="L33" s="580" t="s">
        <v>276</v>
      </c>
      <c r="M33" s="646">
        <v>59</v>
      </c>
      <c r="N33" s="730">
        <v>20.384</v>
      </c>
      <c r="O33" s="586">
        <f t="shared" si="3"/>
        <v>1202.656</v>
      </c>
      <c r="P33" s="646">
        <v>49.29</v>
      </c>
      <c r="Q33" s="730">
        <v>23.73</v>
      </c>
      <c r="R33" s="586">
        <f>P33*Q33</f>
        <v>1169.6517</v>
      </c>
      <c r="S33" s="586">
        <f t="shared" si="2"/>
        <v>2372.3077</v>
      </c>
    </row>
    <row r="34" spans="1:19" s="731" customFormat="1" ht="15.75" customHeight="1">
      <c r="A34" s="778" t="s">
        <v>244</v>
      </c>
      <c r="B34" s="782"/>
      <c r="C34" s="580"/>
      <c r="D34" s="580"/>
      <c r="E34" s="720"/>
      <c r="F34" s="580"/>
      <c r="G34" s="580"/>
      <c r="H34" s="580"/>
      <c r="I34" s="580"/>
      <c r="J34" s="580"/>
      <c r="K34" s="580"/>
      <c r="L34" s="719" t="s">
        <v>53</v>
      </c>
      <c r="M34" s="646">
        <f>14.79+14.39+17.8581+14.6971+17.2152+8.1433</f>
        <v>87.0937</v>
      </c>
      <c r="N34" s="730">
        <v>20.384</v>
      </c>
      <c r="O34" s="586">
        <f t="shared" si="3"/>
        <v>1775.3179808</v>
      </c>
      <c r="P34" s="646">
        <v>0</v>
      </c>
      <c r="Q34" s="730">
        <v>23.73</v>
      </c>
      <c r="R34" s="586">
        <f>P34*Q34</f>
        <v>0</v>
      </c>
      <c r="S34" s="586">
        <f t="shared" si="2"/>
        <v>1775.3179808</v>
      </c>
    </row>
    <row r="35" spans="1:20" s="731" customFormat="1" ht="15.75" customHeight="1">
      <c r="A35" s="1147" t="s">
        <v>51</v>
      </c>
      <c r="B35" s="1148"/>
      <c r="C35" s="580"/>
      <c r="D35" s="580"/>
      <c r="E35" s="720"/>
      <c r="F35" s="580"/>
      <c r="G35" s="580"/>
      <c r="H35" s="580"/>
      <c r="I35" s="580"/>
      <c r="J35" s="580"/>
      <c r="K35" s="580"/>
      <c r="L35" s="719"/>
      <c r="M35" s="646"/>
      <c r="N35" s="730"/>
      <c r="O35" s="586"/>
      <c r="P35" s="586"/>
      <c r="Q35" s="730"/>
      <c r="R35" s="586"/>
      <c r="S35" s="586">
        <v>9544.47</v>
      </c>
      <c r="T35" s="733"/>
    </row>
    <row r="36" spans="1:19" s="731" customFormat="1" ht="15.75" customHeight="1">
      <c r="A36" s="778" t="s">
        <v>80</v>
      </c>
      <c r="B36" s="782"/>
      <c r="C36" s="580"/>
      <c r="D36" s="580"/>
      <c r="E36" s="720"/>
      <c r="F36" s="580"/>
      <c r="G36" s="580"/>
      <c r="H36" s="580"/>
      <c r="I36" s="580"/>
      <c r="J36" s="580"/>
      <c r="K36" s="580"/>
      <c r="L36" s="719"/>
      <c r="M36" s="646"/>
      <c r="N36" s="730"/>
      <c r="O36" s="586"/>
      <c r="P36" s="586"/>
      <c r="Q36" s="730"/>
      <c r="R36" s="586"/>
      <c r="S36" s="586">
        <v>631.9</v>
      </c>
    </row>
    <row r="37" spans="1:19" s="731" customFormat="1" ht="15.75" customHeight="1">
      <c r="A37" s="778" t="s">
        <v>515</v>
      </c>
      <c r="B37" s="782"/>
      <c r="C37" s="580"/>
      <c r="D37" s="580"/>
      <c r="E37" s="720"/>
      <c r="F37" s="580"/>
      <c r="G37" s="580"/>
      <c r="H37" s="580"/>
      <c r="I37" s="580"/>
      <c r="J37" s="580"/>
      <c r="K37" s="580"/>
      <c r="L37" s="719"/>
      <c r="M37" s="646"/>
      <c r="N37" s="730"/>
      <c r="O37" s="586"/>
      <c r="P37" s="586"/>
      <c r="Q37" s="730"/>
      <c r="R37" s="586"/>
      <c r="S37" s="586">
        <v>-285.38</v>
      </c>
    </row>
    <row r="38" spans="1:20" s="737" customFormat="1" ht="15" customHeight="1">
      <c r="A38" s="1138" t="s">
        <v>75</v>
      </c>
      <c r="B38" s="1138"/>
      <c r="C38" s="526"/>
      <c r="D38" s="526">
        <f>SUM(D5:D37)</f>
        <v>26</v>
      </c>
      <c r="E38" s="526">
        <f>SUM(E5:E34)</f>
        <v>14</v>
      </c>
      <c r="F38" s="526">
        <f>SUM(F5:F34)</f>
        <v>12</v>
      </c>
      <c r="G38" s="526">
        <f>SUM(G5:G34)</f>
        <v>14</v>
      </c>
      <c r="H38" s="526">
        <f>SUM(H5:H34)</f>
        <v>12</v>
      </c>
      <c r="I38" s="526"/>
      <c r="J38" s="526"/>
      <c r="K38" s="526"/>
      <c r="L38" s="697"/>
      <c r="M38" s="655">
        <f>SUM(M5:M34)</f>
        <v>4562.603700000001</v>
      </c>
      <c r="N38" s="735"/>
      <c r="O38" s="550">
        <f>SUM(O5:O34)</f>
        <v>93004.1138208</v>
      </c>
      <c r="P38" s="655">
        <f>SUM(P5:P37)</f>
        <v>2935.96</v>
      </c>
      <c r="Q38" s="735"/>
      <c r="R38" s="550">
        <f>SUM(R5:R34)</f>
        <v>69670.3308</v>
      </c>
      <c r="S38" s="550">
        <f>SUM(S5:S37)</f>
        <v>172565.4346208</v>
      </c>
      <c r="T38" s="736"/>
    </row>
    <row r="39" spans="1:19" s="559" customFormat="1" ht="15" customHeight="1">
      <c r="A39" s="1140" t="s">
        <v>64</v>
      </c>
      <c r="B39" s="1140"/>
      <c r="C39" s="638"/>
      <c r="D39" s="638"/>
      <c r="E39" s="695"/>
      <c r="F39" s="638"/>
      <c r="G39" s="638"/>
      <c r="H39" s="638"/>
      <c r="I39" s="638"/>
      <c r="J39" s="638"/>
      <c r="K39" s="638"/>
      <c r="L39" s="696"/>
      <c r="M39" s="661"/>
      <c r="N39" s="738"/>
      <c r="O39" s="728"/>
      <c r="P39" s="728"/>
      <c r="Q39" s="738"/>
      <c r="R39" s="728"/>
      <c r="S39" s="643"/>
    </row>
    <row r="40" spans="1:19" s="635" customFormat="1" ht="57" customHeight="1">
      <c r="A40" s="511" t="s">
        <v>332</v>
      </c>
      <c r="B40" s="511" t="s">
        <v>333</v>
      </c>
      <c r="C40" s="511" t="s">
        <v>213</v>
      </c>
      <c r="D40" s="512" t="s">
        <v>36</v>
      </c>
      <c r="E40" s="512" t="s">
        <v>73</v>
      </c>
      <c r="F40" s="512" t="s">
        <v>74</v>
      </c>
      <c r="G40" s="512" t="s">
        <v>37</v>
      </c>
      <c r="H40" s="512" t="s">
        <v>38</v>
      </c>
      <c r="I40" s="512" t="s">
        <v>15</v>
      </c>
      <c r="J40" s="512" t="s">
        <v>214</v>
      </c>
      <c r="K40" s="512" t="s">
        <v>39</v>
      </c>
      <c r="L40" s="512" t="s">
        <v>84</v>
      </c>
      <c r="M40" s="634" t="s">
        <v>287</v>
      </c>
      <c r="N40" s="729" t="s">
        <v>40</v>
      </c>
      <c r="O40" s="634" t="s">
        <v>57</v>
      </c>
      <c r="P40" s="634" t="s">
        <v>514</v>
      </c>
      <c r="Q40" s="729" t="s">
        <v>40</v>
      </c>
      <c r="R40" s="634" t="s">
        <v>57</v>
      </c>
      <c r="S40" s="511" t="s">
        <v>58</v>
      </c>
    </row>
    <row r="41" spans="1:19" s="716" customFormat="1" ht="15.75" customHeight="1">
      <c r="A41" s="784"/>
      <c r="B41" s="850"/>
      <c r="C41" s="848"/>
      <c r="D41" s="581">
        <v>1</v>
      </c>
      <c r="E41" s="580">
        <v>1</v>
      </c>
      <c r="F41" s="739"/>
      <c r="G41" s="739"/>
      <c r="H41" s="739">
        <v>1</v>
      </c>
      <c r="I41" s="739"/>
      <c r="J41" s="739"/>
      <c r="K41" s="739"/>
      <c r="L41" s="580" t="s">
        <v>275</v>
      </c>
      <c r="M41" s="646">
        <v>0</v>
      </c>
      <c r="N41" s="730">
        <v>20.384</v>
      </c>
      <c r="O41" s="586">
        <f aca="true" t="shared" si="4" ref="O41:O65">M41*N41</f>
        <v>0</v>
      </c>
      <c r="P41" s="646">
        <v>13</v>
      </c>
      <c r="Q41" s="730">
        <v>23.73</v>
      </c>
      <c r="R41" s="586">
        <f aca="true" t="shared" si="5" ref="R41:R72">P41*Q41</f>
        <v>308.49</v>
      </c>
      <c r="S41" s="586">
        <f aca="true" t="shared" si="6" ref="S41:S72">O41+R41</f>
        <v>308.49</v>
      </c>
    </row>
    <row r="42" spans="1:19" s="716" customFormat="1" ht="15.75" customHeight="1">
      <c r="A42" s="784"/>
      <c r="B42" s="850"/>
      <c r="C42" s="848"/>
      <c r="D42" s="581">
        <v>1</v>
      </c>
      <c r="E42" s="580">
        <v>1</v>
      </c>
      <c r="F42" s="580"/>
      <c r="G42" s="580">
        <v>1</v>
      </c>
      <c r="H42" s="580"/>
      <c r="I42" s="580" t="s">
        <v>212</v>
      </c>
      <c r="J42" s="580" t="s">
        <v>212</v>
      </c>
      <c r="K42" s="580">
        <v>2002</v>
      </c>
      <c r="L42" s="580" t="s">
        <v>275</v>
      </c>
      <c r="M42" s="646">
        <v>0</v>
      </c>
      <c r="N42" s="730">
        <v>20.384</v>
      </c>
      <c r="O42" s="586">
        <f t="shared" si="4"/>
        <v>0</v>
      </c>
      <c r="P42" s="646">
        <v>80.48</v>
      </c>
      <c r="Q42" s="730">
        <v>23.73</v>
      </c>
      <c r="R42" s="586">
        <f t="shared" si="5"/>
        <v>1909.7904</v>
      </c>
      <c r="S42" s="586">
        <f t="shared" si="6"/>
        <v>1909.7904</v>
      </c>
    </row>
    <row r="43" spans="1:19" s="698" customFormat="1" ht="15" customHeight="1">
      <c r="A43" s="784"/>
      <c r="B43" s="784"/>
      <c r="C43" s="848"/>
      <c r="D43" s="581">
        <v>1</v>
      </c>
      <c r="E43" s="580">
        <v>1</v>
      </c>
      <c r="F43" s="580"/>
      <c r="G43" s="580">
        <v>1</v>
      </c>
      <c r="H43" s="580"/>
      <c r="I43" s="580" t="s">
        <v>212</v>
      </c>
      <c r="J43" s="580" t="s">
        <v>212</v>
      </c>
      <c r="K43" s="580">
        <v>1996</v>
      </c>
      <c r="L43" s="719" t="s">
        <v>366</v>
      </c>
      <c r="M43" s="646">
        <v>203.5</v>
      </c>
      <c r="N43" s="730">
        <v>20.384</v>
      </c>
      <c r="O43" s="586">
        <f t="shared" si="4"/>
        <v>4148.144</v>
      </c>
      <c r="P43" s="646">
        <v>0</v>
      </c>
      <c r="Q43" s="730">
        <v>23.73</v>
      </c>
      <c r="R43" s="586">
        <f t="shared" si="5"/>
        <v>0</v>
      </c>
      <c r="S43" s="586">
        <f t="shared" si="6"/>
        <v>4148.144</v>
      </c>
    </row>
    <row r="44" spans="1:19" s="698" customFormat="1" ht="15" customHeight="1">
      <c r="A44" s="784"/>
      <c r="B44" s="784"/>
      <c r="C44" s="848"/>
      <c r="D44" s="581">
        <v>1</v>
      </c>
      <c r="E44" s="580">
        <v>1</v>
      </c>
      <c r="F44" s="580"/>
      <c r="G44" s="580">
        <v>1</v>
      </c>
      <c r="H44" s="580"/>
      <c r="I44" s="580" t="s">
        <v>212</v>
      </c>
      <c r="J44" s="580" t="s">
        <v>212</v>
      </c>
      <c r="K44" s="580">
        <v>2003</v>
      </c>
      <c r="L44" s="580" t="s">
        <v>288</v>
      </c>
      <c r="M44" s="740">
        <v>399.58</v>
      </c>
      <c r="N44" s="730">
        <v>20.384</v>
      </c>
      <c r="O44" s="586">
        <f t="shared" si="4"/>
        <v>8145.03872</v>
      </c>
      <c r="P44" s="740">
        <v>260.1</v>
      </c>
      <c r="Q44" s="730">
        <v>23.73</v>
      </c>
      <c r="R44" s="586">
        <f t="shared" si="5"/>
        <v>6172.173000000001</v>
      </c>
      <c r="S44" s="586">
        <f t="shared" si="6"/>
        <v>14317.21172</v>
      </c>
    </row>
    <row r="45" spans="1:19" s="698" customFormat="1" ht="15" customHeight="1">
      <c r="A45" s="784"/>
      <c r="B45" s="784"/>
      <c r="C45" s="848"/>
      <c r="D45" s="581">
        <v>1</v>
      </c>
      <c r="E45" s="581">
        <v>1</v>
      </c>
      <c r="F45" s="581"/>
      <c r="G45" s="581"/>
      <c r="H45" s="581">
        <v>1</v>
      </c>
      <c r="I45" s="580" t="s">
        <v>500</v>
      </c>
      <c r="J45" s="580" t="s">
        <v>500</v>
      </c>
      <c r="K45" s="580">
        <v>1994</v>
      </c>
      <c r="L45" s="580" t="s">
        <v>276</v>
      </c>
      <c r="M45" s="740">
        <v>211.25</v>
      </c>
      <c r="N45" s="730">
        <v>20.384</v>
      </c>
      <c r="O45" s="586">
        <f t="shared" si="4"/>
        <v>4306.12</v>
      </c>
      <c r="P45" s="740">
        <v>140.98</v>
      </c>
      <c r="Q45" s="730">
        <v>23.73</v>
      </c>
      <c r="R45" s="586">
        <f t="shared" si="5"/>
        <v>3345.4554</v>
      </c>
      <c r="S45" s="586">
        <f t="shared" si="6"/>
        <v>7651.5754</v>
      </c>
    </row>
    <row r="46" spans="1:19" s="731" customFormat="1" ht="15" customHeight="1">
      <c r="A46" s="784"/>
      <c r="B46" s="850"/>
      <c r="C46" s="848"/>
      <c r="D46" s="580">
        <v>1</v>
      </c>
      <c r="E46" s="580"/>
      <c r="F46" s="580">
        <v>1</v>
      </c>
      <c r="G46" s="580">
        <v>1</v>
      </c>
      <c r="H46" s="580"/>
      <c r="I46" s="580" t="s">
        <v>212</v>
      </c>
      <c r="J46" s="580" t="s">
        <v>212</v>
      </c>
      <c r="K46" s="580">
        <v>1997</v>
      </c>
      <c r="L46" s="580" t="s">
        <v>288</v>
      </c>
      <c r="M46" s="646">
        <v>133.5</v>
      </c>
      <c r="N46" s="730">
        <v>20.384</v>
      </c>
      <c r="O46" s="586">
        <f t="shared" si="4"/>
        <v>2721.264</v>
      </c>
      <c r="P46" s="646">
        <v>103.48</v>
      </c>
      <c r="Q46" s="730">
        <v>23.73</v>
      </c>
      <c r="R46" s="586">
        <f t="shared" si="5"/>
        <v>2455.5804000000003</v>
      </c>
      <c r="S46" s="586">
        <f t="shared" si="6"/>
        <v>5176.8444</v>
      </c>
    </row>
    <row r="47" spans="1:20" s="731" customFormat="1" ht="15" customHeight="1">
      <c r="A47" s="784"/>
      <c r="B47" s="784"/>
      <c r="C47" s="848"/>
      <c r="D47" s="580">
        <v>1</v>
      </c>
      <c r="E47" s="580"/>
      <c r="F47" s="580">
        <v>1</v>
      </c>
      <c r="G47" s="580"/>
      <c r="H47" s="580">
        <v>1</v>
      </c>
      <c r="I47" s="741" t="s">
        <v>44</v>
      </c>
      <c r="J47" s="741" t="s">
        <v>44</v>
      </c>
      <c r="K47" s="580">
        <v>1997</v>
      </c>
      <c r="L47" s="580" t="s">
        <v>276</v>
      </c>
      <c r="M47" s="646">
        <v>123.25</v>
      </c>
      <c r="N47" s="730">
        <v>20.384</v>
      </c>
      <c r="O47" s="586">
        <f t="shared" si="4"/>
        <v>2512.328</v>
      </c>
      <c r="P47" s="646">
        <v>87.48</v>
      </c>
      <c r="Q47" s="730">
        <v>23.73</v>
      </c>
      <c r="R47" s="586">
        <f t="shared" si="5"/>
        <v>2075.9004</v>
      </c>
      <c r="S47" s="586">
        <f t="shared" si="6"/>
        <v>4588.2284</v>
      </c>
      <c r="T47" s="742"/>
    </row>
    <row r="48" spans="1:20" s="731" customFormat="1" ht="15" customHeight="1">
      <c r="A48" s="784"/>
      <c r="B48" s="850"/>
      <c r="C48" s="848"/>
      <c r="D48" s="580">
        <v>1</v>
      </c>
      <c r="E48" s="580">
        <v>1</v>
      </c>
      <c r="F48" s="580"/>
      <c r="G48" s="580"/>
      <c r="H48" s="580">
        <v>1</v>
      </c>
      <c r="I48" s="580" t="s">
        <v>212</v>
      </c>
      <c r="J48" s="580" t="s">
        <v>343</v>
      </c>
      <c r="K48" s="580">
        <v>2001</v>
      </c>
      <c r="L48" s="580" t="s">
        <v>275</v>
      </c>
      <c r="M48" s="646">
        <v>0</v>
      </c>
      <c r="N48" s="730">
        <v>20.384</v>
      </c>
      <c r="O48" s="586">
        <f t="shared" si="4"/>
        <v>0</v>
      </c>
      <c r="P48" s="646">
        <v>142.19</v>
      </c>
      <c r="Q48" s="730">
        <v>23.73</v>
      </c>
      <c r="R48" s="586">
        <f t="shared" si="5"/>
        <v>3374.1687</v>
      </c>
      <c r="S48" s="586">
        <f t="shared" si="6"/>
        <v>3374.1687</v>
      </c>
      <c r="T48" s="742"/>
    </row>
    <row r="49" spans="1:20" s="731" customFormat="1" ht="15" customHeight="1">
      <c r="A49" s="784"/>
      <c r="B49" s="850"/>
      <c r="C49" s="848"/>
      <c r="D49" s="580">
        <v>1</v>
      </c>
      <c r="E49" s="580">
        <v>1</v>
      </c>
      <c r="F49" s="580"/>
      <c r="G49" s="580">
        <v>1</v>
      </c>
      <c r="H49" s="580"/>
      <c r="I49" s="580" t="s">
        <v>212</v>
      </c>
      <c r="J49" s="580" t="s">
        <v>212</v>
      </c>
      <c r="K49" s="580">
        <v>1999</v>
      </c>
      <c r="L49" s="580" t="s">
        <v>275</v>
      </c>
      <c r="M49" s="646">
        <v>0</v>
      </c>
      <c r="N49" s="730">
        <v>20.384</v>
      </c>
      <c r="O49" s="586">
        <f t="shared" si="4"/>
        <v>0</v>
      </c>
      <c r="P49" s="646">
        <v>86.98</v>
      </c>
      <c r="Q49" s="730">
        <v>23.73</v>
      </c>
      <c r="R49" s="586">
        <f t="shared" si="5"/>
        <v>2064.0354</v>
      </c>
      <c r="S49" s="586">
        <f t="shared" si="6"/>
        <v>2064.0354</v>
      </c>
      <c r="T49" s="742"/>
    </row>
    <row r="50" spans="1:19" s="731" customFormat="1" ht="15" customHeight="1">
      <c r="A50" s="784"/>
      <c r="B50" s="850"/>
      <c r="C50" s="848"/>
      <c r="D50" s="580">
        <v>1</v>
      </c>
      <c r="E50" s="580">
        <v>1</v>
      </c>
      <c r="F50" s="580"/>
      <c r="G50" s="580">
        <v>1</v>
      </c>
      <c r="H50" s="580"/>
      <c r="I50" s="580" t="s">
        <v>212</v>
      </c>
      <c r="J50" s="580" t="s">
        <v>212</v>
      </c>
      <c r="K50" s="580">
        <v>2005</v>
      </c>
      <c r="L50" s="580" t="s">
        <v>275</v>
      </c>
      <c r="M50" s="646">
        <v>0</v>
      </c>
      <c r="N50" s="730">
        <v>20.384</v>
      </c>
      <c r="O50" s="586">
        <f t="shared" si="4"/>
        <v>0</v>
      </c>
      <c r="P50" s="646">
        <v>87.48</v>
      </c>
      <c r="Q50" s="730">
        <v>23.73</v>
      </c>
      <c r="R50" s="586">
        <f t="shared" si="5"/>
        <v>2075.9004</v>
      </c>
      <c r="S50" s="586">
        <f t="shared" si="6"/>
        <v>2075.9004</v>
      </c>
    </row>
    <row r="51" spans="1:19" s="731" customFormat="1" ht="15" customHeight="1">
      <c r="A51" s="784"/>
      <c r="B51" s="784"/>
      <c r="C51" s="848"/>
      <c r="D51" s="580">
        <v>1</v>
      </c>
      <c r="E51" s="580">
        <v>1</v>
      </c>
      <c r="F51" s="580"/>
      <c r="G51" s="580">
        <v>1</v>
      </c>
      <c r="H51" s="580"/>
      <c r="I51" s="580" t="s">
        <v>212</v>
      </c>
      <c r="J51" s="580" t="s">
        <v>212</v>
      </c>
      <c r="K51" s="580">
        <v>2002</v>
      </c>
      <c r="L51" s="580" t="s">
        <v>288</v>
      </c>
      <c r="M51" s="646">
        <v>382.5</v>
      </c>
      <c r="N51" s="730">
        <v>20.384</v>
      </c>
      <c r="O51" s="586">
        <f t="shared" si="4"/>
        <v>7796.88</v>
      </c>
      <c r="P51" s="646">
        <v>251.48</v>
      </c>
      <c r="Q51" s="730">
        <v>23.73</v>
      </c>
      <c r="R51" s="586">
        <f t="shared" si="5"/>
        <v>5967.6204</v>
      </c>
      <c r="S51" s="586">
        <f t="shared" si="6"/>
        <v>13764.5004</v>
      </c>
    </row>
    <row r="52" spans="1:19" s="731" customFormat="1" ht="15" customHeight="1">
      <c r="A52" s="784"/>
      <c r="B52" s="784"/>
      <c r="C52" s="848"/>
      <c r="D52" s="580">
        <v>1</v>
      </c>
      <c r="E52" s="580">
        <v>1</v>
      </c>
      <c r="F52" s="580"/>
      <c r="G52" s="580">
        <v>1</v>
      </c>
      <c r="H52" s="580"/>
      <c r="I52" s="580" t="s">
        <v>212</v>
      </c>
      <c r="J52" s="580" t="s">
        <v>212</v>
      </c>
      <c r="K52" s="580">
        <v>1999</v>
      </c>
      <c r="L52" s="580" t="s">
        <v>288</v>
      </c>
      <c r="M52" s="646">
        <v>602</v>
      </c>
      <c r="N52" s="730">
        <v>20.384</v>
      </c>
      <c r="O52" s="586">
        <f t="shared" si="4"/>
        <v>12271.168</v>
      </c>
      <c r="P52" s="646">
        <v>385.1</v>
      </c>
      <c r="Q52" s="730">
        <v>23.73</v>
      </c>
      <c r="R52" s="586">
        <f t="shared" si="5"/>
        <v>9138.423</v>
      </c>
      <c r="S52" s="586">
        <f t="shared" si="6"/>
        <v>21409.591</v>
      </c>
    </row>
    <row r="53" spans="1:19" s="731" customFormat="1" ht="15" customHeight="1">
      <c r="A53" s="784"/>
      <c r="B53" s="784"/>
      <c r="C53" s="848"/>
      <c r="D53" s="580">
        <v>1</v>
      </c>
      <c r="E53" s="580"/>
      <c r="F53" s="580">
        <v>1</v>
      </c>
      <c r="G53" s="580">
        <v>1</v>
      </c>
      <c r="H53" s="580"/>
      <c r="I53" s="580" t="s">
        <v>212</v>
      </c>
      <c r="J53" s="580" t="s">
        <v>212</v>
      </c>
      <c r="K53" s="580">
        <v>2005</v>
      </c>
      <c r="L53" s="580" t="s">
        <v>276</v>
      </c>
      <c r="M53" s="646">
        <v>114</v>
      </c>
      <c r="N53" s="730">
        <v>20.384</v>
      </c>
      <c r="O53" s="586">
        <f t="shared" si="4"/>
        <v>2323.776</v>
      </c>
      <c r="P53" s="646">
        <v>98.98</v>
      </c>
      <c r="Q53" s="730">
        <v>23.73</v>
      </c>
      <c r="R53" s="586">
        <f t="shared" si="5"/>
        <v>2348.7954</v>
      </c>
      <c r="S53" s="586">
        <f t="shared" si="6"/>
        <v>4672.5714</v>
      </c>
    </row>
    <row r="54" spans="1:19" s="731" customFormat="1" ht="15" customHeight="1">
      <c r="A54" s="784"/>
      <c r="B54" s="784"/>
      <c r="C54" s="848"/>
      <c r="D54" s="580">
        <v>1</v>
      </c>
      <c r="E54" s="580"/>
      <c r="F54" s="580">
        <v>1</v>
      </c>
      <c r="G54" s="580">
        <v>1</v>
      </c>
      <c r="H54" s="580"/>
      <c r="I54" s="580" t="s">
        <v>212</v>
      </c>
      <c r="J54" s="580" t="s">
        <v>212</v>
      </c>
      <c r="K54" s="580">
        <v>2005</v>
      </c>
      <c r="L54" s="580" t="s">
        <v>276</v>
      </c>
      <c r="M54" s="646">
        <v>116</v>
      </c>
      <c r="N54" s="730">
        <v>20.384</v>
      </c>
      <c r="O54" s="586">
        <f t="shared" si="4"/>
        <v>2364.544</v>
      </c>
      <c r="P54" s="646">
        <v>91.98</v>
      </c>
      <c r="Q54" s="730">
        <v>23.73</v>
      </c>
      <c r="R54" s="586">
        <f t="shared" si="5"/>
        <v>2182.6854000000003</v>
      </c>
      <c r="S54" s="586">
        <f t="shared" si="6"/>
        <v>4547.2294</v>
      </c>
    </row>
    <row r="55" spans="1:20" ht="15" customHeight="1">
      <c r="A55" s="784"/>
      <c r="B55" s="784"/>
      <c r="C55" s="848"/>
      <c r="D55" s="580">
        <v>1</v>
      </c>
      <c r="E55" s="580">
        <v>1</v>
      </c>
      <c r="F55" s="580"/>
      <c r="G55" s="580">
        <v>1</v>
      </c>
      <c r="H55" s="580"/>
      <c r="I55" s="580" t="s">
        <v>212</v>
      </c>
      <c r="J55" s="580" t="s">
        <v>212</v>
      </c>
      <c r="K55" s="580">
        <v>1996</v>
      </c>
      <c r="L55" s="580" t="s">
        <v>276</v>
      </c>
      <c r="M55" s="646">
        <v>195.75</v>
      </c>
      <c r="N55" s="730">
        <v>20.384</v>
      </c>
      <c r="O55" s="586">
        <f t="shared" si="4"/>
        <v>3990.168</v>
      </c>
      <c r="P55" s="646">
        <v>119.23</v>
      </c>
      <c r="Q55" s="730">
        <v>23.73</v>
      </c>
      <c r="R55" s="586">
        <f t="shared" si="5"/>
        <v>2829.3279</v>
      </c>
      <c r="S55" s="586">
        <f t="shared" si="6"/>
        <v>6819.4959</v>
      </c>
      <c r="T55" s="743"/>
    </row>
    <row r="56" spans="1:20" ht="15" customHeight="1">
      <c r="A56" s="784"/>
      <c r="B56" s="784"/>
      <c r="C56" s="848"/>
      <c r="D56" s="580">
        <v>1</v>
      </c>
      <c r="E56" s="580">
        <v>1</v>
      </c>
      <c r="F56" s="580"/>
      <c r="G56" s="580">
        <v>1</v>
      </c>
      <c r="H56" s="580"/>
      <c r="I56" s="580" t="s">
        <v>212</v>
      </c>
      <c r="J56" s="580" t="s">
        <v>212</v>
      </c>
      <c r="K56" s="580">
        <v>2002</v>
      </c>
      <c r="L56" s="580" t="s">
        <v>276</v>
      </c>
      <c r="M56" s="646">
        <v>115.5</v>
      </c>
      <c r="N56" s="730">
        <v>20.384</v>
      </c>
      <c r="O56" s="586">
        <f t="shared" si="4"/>
        <v>2354.352</v>
      </c>
      <c r="P56" s="646">
        <v>82.98</v>
      </c>
      <c r="Q56" s="730">
        <v>23.73</v>
      </c>
      <c r="R56" s="586">
        <f t="shared" si="5"/>
        <v>1969.1154000000001</v>
      </c>
      <c r="S56" s="586">
        <f t="shared" si="6"/>
        <v>4323.4673999999995</v>
      </c>
      <c r="T56" s="743"/>
    </row>
    <row r="57" spans="1:20" ht="15" customHeight="1">
      <c r="A57" s="784"/>
      <c r="B57" s="850"/>
      <c r="C57" s="848"/>
      <c r="D57" s="580">
        <v>1</v>
      </c>
      <c r="E57" s="580">
        <v>1</v>
      </c>
      <c r="F57" s="580"/>
      <c r="G57" s="580">
        <v>1</v>
      </c>
      <c r="H57" s="580"/>
      <c r="I57" s="580" t="s">
        <v>212</v>
      </c>
      <c r="J57" s="580" t="s">
        <v>212</v>
      </c>
      <c r="K57" s="580">
        <v>2003</v>
      </c>
      <c r="L57" s="580" t="s">
        <v>276</v>
      </c>
      <c r="M57" s="646">
        <v>131</v>
      </c>
      <c r="N57" s="730">
        <v>20.384</v>
      </c>
      <c r="O57" s="586">
        <f t="shared" si="4"/>
        <v>2670.304</v>
      </c>
      <c r="P57" s="646">
        <v>104.61</v>
      </c>
      <c r="Q57" s="730">
        <v>23.73</v>
      </c>
      <c r="R57" s="586">
        <f t="shared" si="5"/>
        <v>2482.3953</v>
      </c>
      <c r="S57" s="586">
        <f t="shared" si="6"/>
        <v>5152.6993</v>
      </c>
      <c r="T57" s="743"/>
    </row>
    <row r="58" spans="1:20" ht="15" customHeight="1">
      <c r="A58" s="784"/>
      <c r="B58" s="850"/>
      <c r="C58" s="848"/>
      <c r="D58" s="580">
        <v>1</v>
      </c>
      <c r="E58" s="580">
        <v>1</v>
      </c>
      <c r="F58" s="580"/>
      <c r="G58" s="580">
        <v>1</v>
      </c>
      <c r="H58" s="580"/>
      <c r="I58" s="580" t="s">
        <v>212</v>
      </c>
      <c r="J58" s="580" t="s">
        <v>212</v>
      </c>
      <c r="K58" s="580">
        <v>2002</v>
      </c>
      <c r="L58" s="580" t="s">
        <v>275</v>
      </c>
      <c r="M58" s="646">
        <v>0</v>
      </c>
      <c r="N58" s="730">
        <v>20.38</v>
      </c>
      <c r="O58" s="586">
        <f t="shared" si="4"/>
        <v>0</v>
      </c>
      <c r="P58" s="646">
        <v>86.48</v>
      </c>
      <c r="Q58" s="730">
        <v>23.73</v>
      </c>
      <c r="R58" s="586">
        <f t="shared" si="5"/>
        <v>2052.1704</v>
      </c>
      <c r="S58" s="586">
        <f t="shared" si="6"/>
        <v>2052.1704</v>
      </c>
      <c r="T58" s="743"/>
    </row>
    <row r="59" spans="1:20" ht="15" customHeight="1">
      <c r="A59" s="784"/>
      <c r="B59" s="850"/>
      <c r="C59" s="848"/>
      <c r="D59" s="580">
        <v>1</v>
      </c>
      <c r="E59" s="580">
        <v>1</v>
      </c>
      <c r="F59" s="580"/>
      <c r="G59" s="580">
        <v>1</v>
      </c>
      <c r="H59" s="580"/>
      <c r="I59" s="580" t="s">
        <v>212</v>
      </c>
      <c r="J59" s="580" t="s">
        <v>212</v>
      </c>
      <c r="K59" s="580">
        <v>2004</v>
      </c>
      <c r="L59" s="580" t="s">
        <v>275</v>
      </c>
      <c r="M59" s="646">
        <v>0</v>
      </c>
      <c r="N59" s="730">
        <v>20.38</v>
      </c>
      <c r="O59" s="586">
        <f t="shared" si="4"/>
        <v>0</v>
      </c>
      <c r="P59" s="646">
        <v>84.98</v>
      </c>
      <c r="Q59" s="730">
        <v>23.73</v>
      </c>
      <c r="R59" s="586">
        <f t="shared" si="5"/>
        <v>2016.5754000000002</v>
      </c>
      <c r="S59" s="586">
        <f t="shared" si="6"/>
        <v>2016.5754000000002</v>
      </c>
      <c r="T59" s="743"/>
    </row>
    <row r="60" spans="1:20" ht="15" customHeight="1">
      <c r="A60" s="784"/>
      <c r="B60" s="784"/>
      <c r="C60" s="848"/>
      <c r="D60" s="580">
        <v>1</v>
      </c>
      <c r="E60" s="580">
        <v>1</v>
      </c>
      <c r="F60" s="580"/>
      <c r="G60" s="580">
        <v>1</v>
      </c>
      <c r="H60" s="580"/>
      <c r="I60" s="580" t="s">
        <v>212</v>
      </c>
      <c r="J60" s="580" t="s">
        <v>212</v>
      </c>
      <c r="K60" s="580">
        <v>2004</v>
      </c>
      <c r="L60" s="580" t="s">
        <v>179</v>
      </c>
      <c r="M60" s="646">
        <v>335</v>
      </c>
      <c r="N60" s="730">
        <v>27.04</v>
      </c>
      <c r="O60" s="586">
        <f t="shared" si="4"/>
        <v>9058.4</v>
      </c>
      <c r="P60" s="646">
        <v>215.5</v>
      </c>
      <c r="Q60" s="730">
        <v>27.04</v>
      </c>
      <c r="R60" s="586">
        <f t="shared" si="5"/>
        <v>5827.12</v>
      </c>
      <c r="S60" s="586">
        <f t="shared" si="6"/>
        <v>14885.52</v>
      </c>
      <c r="T60" s="743"/>
    </row>
    <row r="61" spans="1:19" ht="15" customHeight="1">
      <c r="A61" s="784"/>
      <c r="B61" s="850"/>
      <c r="C61" s="848"/>
      <c r="D61" s="580">
        <v>1</v>
      </c>
      <c r="E61" s="580">
        <v>1</v>
      </c>
      <c r="F61" s="580"/>
      <c r="G61" s="580">
        <v>1</v>
      </c>
      <c r="H61" s="580"/>
      <c r="I61" s="580" t="s">
        <v>212</v>
      </c>
      <c r="J61" s="580" t="s">
        <v>212</v>
      </c>
      <c r="K61" s="580">
        <v>2006</v>
      </c>
      <c r="L61" s="580" t="s">
        <v>276</v>
      </c>
      <c r="M61" s="646">
        <v>417.75</v>
      </c>
      <c r="N61" s="730">
        <v>20.384</v>
      </c>
      <c r="O61" s="586">
        <f t="shared" si="4"/>
        <v>8515.416</v>
      </c>
      <c r="P61" s="646">
        <v>245.11</v>
      </c>
      <c r="Q61" s="730">
        <v>23.73</v>
      </c>
      <c r="R61" s="586">
        <f t="shared" si="5"/>
        <v>5816.460300000001</v>
      </c>
      <c r="S61" s="586">
        <f t="shared" si="6"/>
        <v>14331.8763</v>
      </c>
    </row>
    <row r="62" spans="1:19" ht="15" customHeight="1">
      <c r="A62" s="784"/>
      <c r="B62" s="784"/>
      <c r="C62" s="848"/>
      <c r="D62" s="580">
        <v>1</v>
      </c>
      <c r="E62" s="720"/>
      <c r="F62" s="580">
        <v>1</v>
      </c>
      <c r="G62" s="580"/>
      <c r="H62" s="580">
        <v>1</v>
      </c>
      <c r="I62" s="580"/>
      <c r="J62" s="580"/>
      <c r="K62" s="580"/>
      <c r="L62" s="580" t="s">
        <v>276</v>
      </c>
      <c r="M62" s="646">
        <v>118</v>
      </c>
      <c r="N62" s="730">
        <v>20.384</v>
      </c>
      <c r="O62" s="586">
        <f t="shared" si="4"/>
        <v>2405.312</v>
      </c>
      <c r="P62" s="646">
        <v>81.23</v>
      </c>
      <c r="Q62" s="730">
        <v>23.73</v>
      </c>
      <c r="R62" s="586">
        <f t="shared" si="5"/>
        <v>1927.5879000000002</v>
      </c>
      <c r="S62" s="586">
        <f t="shared" si="6"/>
        <v>4332.8999</v>
      </c>
    </row>
    <row r="63" spans="1:19" ht="15" customHeight="1">
      <c r="A63" s="784"/>
      <c r="B63" s="784"/>
      <c r="C63" s="848"/>
      <c r="D63" s="580">
        <v>1</v>
      </c>
      <c r="E63" s="580">
        <v>1</v>
      </c>
      <c r="F63" s="580"/>
      <c r="G63" s="580">
        <v>1</v>
      </c>
      <c r="H63" s="580"/>
      <c r="I63" s="580" t="s">
        <v>212</v>
      </c>
      <c r="J63" s="580" t="s">
        <v>212</v>
      </c>
      <c r="K63" s="580">
        <v>2006</v>
      </c>
      <c r="L63" s="580" t="s">
        <v>276</v>
      </c>
      <c r="M63" s="646">
        <v>9.25</v>
      </c>
      <c r="N63" s="730">
        <v>20.384</v>
      </c>
      <c r="O63" s="586">
        <f t="shared" si="4"/>
        <v>188.552</v>
      </c>
      <c r="P63" s="646">
        <v>201.48</v>
      </c>
      <c r="Q63" s="730">
        <v>23.73</v>
      </c>
      <c r="R63" s="586">
        <f t="shared" si="5"/>
        <v>4781.1204</v>
      </c>
      <c r="S63" s="586">
        <f t="shared" si="6"/>
        <v>4969.6723999999995</v>
      </c>
    </row>
    <row r="64" spans="1:19" ht="15" customHeight="1">
      <c r="A64" s="784"/>
      <c r="B64" s="784"/>
      <c r="C64" s="848"/>
      <c r="D64" s="580">
        <v>1</v>
      </c>
      <c r="E64" s="580"/>
      <c r="F64" s="580">
        <v>1</v>
      </c>
      <c r="G64" s="580">
        <v>1</v>
      </c>
      <c r="H64" s="580"/>
      <c r="I64" s="580" t="s">
        <v>212</v>
      </c>
      <c r="J64" s="580" t="s">
        <v>129</v>
      </c>
      <c r="K64" s="580">
        <v>2000</v>
      </c>
      <c r="L64" s="580" t="s">
        <v>276</v>
      </c>
      <c r="M64" s="646">
        <v>124</v>
      </c>
      <c r="N64" s="730">
        <v>20.384</v>
      </c>
      <c r="O64" s="586">
        <f t="shared" si="4"/>
        <v>2527.616</v>
      </c>
      <c r="P64" s="646">
        <v>97.48</v>
      </c>
      <c r="Q64" s="730">
        <v>23.73</v>
      </c>
      <c r="R64" s="586">
        <f t="shared" si="5"/>
        <v>2313.2004</v>
      </c>
      <c r="S64" s="586">
        <f t="shared" si="6"/>
        <v>4840.8164</v>
      </c>
    </row>
    <row r="65" spans="1:19" ht="15" customHeight="1">
      <c r="A65" s="784"/>
      <c r="B65" s="784"/>
      <c r="C65" s="848"/>
      <c r="D65" s="580">
        <v>1</v>
      </c>
      <c r="E65" s="580"/>
      <c r="F65" s="580">
        <v>1</v>
      </c>
      <c r="G65" s="580"/>
      <c r="H65" s="580">
        <v>1</v>
      </c>
      <c r="I65" s="580" t="s">
        <v>212</v>
      </c>
      <c r="J65" s="580" t="s">
        <v>16</v>
      </c>
      <c r="K65" s="580">
        <v>2002</v>
      </c>
      <c r="L65" s="580" t="s">
        <v>276</v>
      </c>
      <c r="M65" s="646">
        <v>116.25</v>
      </c>
      <c r="N65" s="730">
        <v>20.384</v>
      </c>
      <c r="O65" s="586">
        <f t="shared" si="4"/>
        <v>2369.64</v>
      </c>
      <c r="P65" s="646">
        <v>79.48</v>
      </c>
      <c r="Q65" s="730">
        <v>23.73</v>
      </c>
      <c r="R65" s="586">
        <f t="shared" si="5"/>
        <v>1886.0604</v>
      </c>
      <c r="S65" s="586">
        <f t="shared" si="6"/>
        <v>4255.7004</v>
      </c>
    </row>
    <row r="66" spans="1:19" ht="15" customHeight="1">
      <c r="A66" s="784"/>
      <c r="B66" s="850"/>
      <c r="C66" s="848"/>
      <c r="D66" s="580">
        <v>1</v>
      </c>
      <c r="E66" s="580"/>
      <c r="F66" s="580">
        <v>1</v>
      </c>
      <c r="G66" s="580">
        <v>1</v>
      </c>
      <c r="H66" s="580"/>
      <c r="I66" s="580" t="s">
        <v>212</v>
      </c>
      <c r="J66" s="580" t="s">
        <v>501</v>
      </c>
      <c r="K66" s="580">
        <v>2007</v>
      </c>
      <c r="L66" s="580" t="s">
        <v>275</v>
      </c>
      <c r="M66" s="646">
        <v>0</v>
      </c>
      <c r="N66" s="730">
        <v>20.384</v>
      </c>
      <c r="O66" s="586">
        <v>0</v>
      </c>
      <c r="P66" s="646">
        <v>10.5</v>
      </c>
      <c r="Q66" s="730">
        <v>23.73</v>
      </c>
      <c r="R66" s="586">
        <f t="shared" si="5"/>
        <v>249.165</v>
      </c>
      <c r="S66" s="586">
        <f t="shared" si="6"/>
        <v>249.165</v>
      </c>
    </row>
    <row r="67" spans="1:19" ht="15" customHeight="1">
      <c r="A67" s="784"/>
      <c r="B67" s="850"/>
      <c r="C67" s="848"/>
      <c r="D67" s="580">
        <v>1</v>
      </c>
      <c r="E67" s="580">
        <v>1</v>
      </c>
      <c r="F67" s="580"/>
      <c r="G67" s="580"/>
      <c r="H67" s="580">
        <v>1</v>
      </c>
      <c r="I67" s="580" t="s">
        <v>212</v>
      </c>
      <c r="J67" s="580" t="s">
        <v>327</v>
      </c>
      <c r="K67" s="580">
        <v>2005</v>
      </c>
      <c r="L67" s="580" t="s">
        <v>276</v>
      </c>
      <c r="M67" s="646">
        <v>253</v>
      </c>
      <c r="N67" s="730">
        <v>20.384</v>
      </c>
      <c r="O67" s="586">
        <f>M67*N67</f>
        <v>5157.152</v>
      </c>
      <c r="P67" s="646">
        <v>142.11</v>
      </c>
      <c r="Q67" s="730">
        <v>23.73</v>
      </c>
      <c r="R67" s="586">
        <f t="shared" si="5"/>
        <v>3372.2703000000006</v>
      </c>
      <c r="S67" s="586">
        <f t="shared" si="6"/>
        <v>8529.4223</v>
      </c>
    </row>
    <row r="68" spans="1:19" ht="15" customHeight="1">
      <c r="A68" s="784"/>
      <c r="B68" s="850"/>
      <c r="C68" s="848"/>
      <c r="D68" s="580">
        <v>1</v>
      </c>
      <c r="E68" s="580">
        <v>1</v>
      </c>
      <c r="F68" s="580"/>
      <c r="G68" s="580">
        <v>1</v>
      </c>
      <c r="H68" s="580"/>
      <c r="I68" s="580" t="s">
        <v>212</v>
      </c>
      <c r="J68" s="580" t="s">
        <v>212</v>
      </c>
      <c r="K68" s="580">
        <v>2010</v>
      </c>
      <c r="L68" s="580" t="s">
        <v>275</v>
      </c>
      <c r="M68" s="646">
        <v>0</v>
      </c>
      <c r="N68" s="730">
        <v>20.384</v>
      </c>
      <c r="O68" s="586">
        <v>0</v>
      </c>
      <c r="P68" s="646">
        <v>23.86</v>
      </c>
      <c r="Q68" s="730">
        <v>23.73</v>
      </c>
      <c r="R68" s="586">
        <f t="shared" si="5"/>
        <v>566.1978</v>
      </c>
      <c r="S68" s="586">
        <f t="shared" si="6"/>
        <v>566.1978</v>
      </c>
    </row>
    <row r="69" spans="1:19" ht="15" customHeight="1">
      <c r="A69" s="784"/>
      <c r="B69" s="784"/>
      <c r="C69" s="848"/>
      <c r="D69" s="580">
        <v>1</v>
      </c>
      <c r="E69" s="580">
        <v>1</v>
      </c>
      <c r="F69" s="580"/>
      <c r="G69" s="580"/>
      <c r="H69" s="580">
        <v>1</v>
      </c>
      <c r="I69" s="580" t="s">
        <v>212</v>
      </c>
      <c r="J69" s="580" t="s">
        <v>18</v>
      </c>
      <c r="K69" s="580">
        <v>2008</v>
      </c>
      <c r="L69" s="580" t="s">
        <v>366</v>
      </c>
      <c r="M69" s="646">
        <v>10.5</v>
      </c>
      <c r="N69" s="730">
        <v>20.384</v>
      </c>
      <c r="O69" s="586">
        <f aca="true" t="shared" si="7" ref="O69:O83">M69*N69</f>
        <v>214.032</v>
      </c>
      <c r="P69" s="646">
        <v>15</v>
      </c>
      <c r="Q69" s="730">
        <v>23.73</v>
      </c>
      <c r="R69" s="586">
        <f t="shared" si="5"/>
        <v>355.95</v>
      </c>
      <c r="S69" s="586">
        <f t="shared" si="6"/>
        <v>569.982</v>
      </c>
    </row>
    <row r="70" spans="1:19" ht="15" customHeight="1">
      <c r="A70" s="784"/>
      <c r="B70" s="850"/>
      <c r="C70" s="848"/>
      <c r="D70" s="580">
        <v>1</v>
      </c>
      <c r="E70" s="580">
        <v>1</v>
      </c>
      <c r="F70" s="580"/>
      <c r="G70" s="580">
        <v>1</v>
      </c>
      <c r="H70" s="580"/>
      <c r="I70" s="580" t="s">
        <v>212</v>
      </c>
      <c r="J70" s="580" t="s">
        <v>212</v>
      </c>
      <c r="K70" s="580">
        <v>1996</v>
      </c>
      <c r="L70" s="580" t="s">
        <v>366</v>
      </c>
      <c r="M70" s="646">
        <v>144</v>
      </c>
      <c r="N70" s="730">
        <v>20.384</v>
      </c>
      <c r="O70" s="586">
        <f t="shared" si="7"/>
        <v>2935.2960000000003</v>
      </c>
      <c r="P70" s="646">
        <v>93.48</v>
      </c>
      <c r="Q70" s="730">
        <v>23.73</v>
      </c>
      <c r="R70" s="586">
        <f t="shared" si="5"/>
        <v>2218.2804</v>
      </c>
      <c r="S70" s="586">
        <f t="shared" si="6"/>
        <v>5153.5764</v>
      </c>
    </row>
    <row r="71" spans="1:19" ht="15" customHeight="1">
      <c r="A71" s="784"/>
      <c r="B71" s="850"/>
      <c r="C71" s="848"/>
      <c r="D71" s="580">
        <v>1</v>
      </c>
      <c r="E71" s="580">
        <v>1</v>
      </c>
      <c r="F71" s="580"/>
      <c r="G71" s="580">
        <v>1</v>
      </c>
      <c r="H71" s="580"/>
      <c r="I71" s="580" t="s">
        <v>33</v>
      </c>
      <c r="J71" s="580" t="s">
        <v>212</v>
      </c>
      <c r="K71" s="580">
        <v>1998</v>
      </c>
      <c r="L71" s="580" t="s">
        <v>366</v>
      </c>
      <c r="M71" s="646">
        <v>0</v>
      </c>
      <c r="N71" s="730">
        <v>20.384</v>
      </c>
      <c r="O71" s="586">
        <f t="shared" si="7"/>
        <v>0</v>
      </c>
      <c r="P71" s="646">
        <v>82.36</v>
      </c>
      <c r="Q71" s="730">
        <v>23.73</v>
      </c>
      <c r="R71" s="586">
        <f t="shared" si="5"/>
        <v>1954.4028</v>
      </c>
      <c r="S71" s="586">
        <f t="shared" si="6"/>
        <v>1954.4028</v>
      </c>
    </row>
    <row r="72" spans="1:19" s="731" customFormat="1" ht="15" customHeight="1">
      <c r="A72" s="784"/>
      <c r="B72" s="784"/>
      <c r="C72" s="848"/>
      <c r="D72" s="580">
        <v>1</v>
      </c>
      <c r="E72" s="580">
        <v>1</v>
      </c>
      <c r="F72" s="580"/>
      <c r="G72" s="580">
        <v>1</v>
      </c>
      <c r="H72" s="580"/>
      <c r="I72" s="580" t="s">
        <v>212</v>
      </c>
      <c r="J72" s="580" t="s">
        <v>212</v>
      </c>
      <c r="K72" s="580">
        <v>1993</v>
      </c>
      <c r="L72" s="580" t="s">
        <v>53</v>
      </c>
      <c r="M72" s="646">
        <v>132</v>
      </c>
      <c r="N72" s="730">
        <v>20.384</v>
      </c>
      <c r="O72" s="586">
        <f t="shared" si="7"/>
        <v>2690.688</v>
      </c>
      <c r="P72" s="646">
        <v>0</v>
      </c>
      <c r="Q72" s="730">
        <v>23.73</v>
      </c>
      <c r="R72" s="586">
        <f t="shared" si="5"/>
        <v>0</v>
      </c>
      <c r="S72" s="586">
        <f t="shared" si="6"/>
        <v>2690.688</v>
      </c>
    </row>
    <row r="73" spans="1:19" s="731" customFormat="1" ht="15" customHeight="1">
      <c r="A73" s="784"/>
      <c r="B73" s="850"/>
      <c r="C73" s="848"/>
      <c r="D73" s="580">
        <v>1</v>
      </c>
      <c r="E73" s="580">
        <v>1</v>
      </c>
      <c r="F73" s="580"/>
      <c r="G73" s="580">
        <v>1</v>
      </c>
      <c r="H73" s="580"/>
      <c r="I73" s="580" t="s">
        <v>212</v>
      </c>
      <c r="J73" s="580" t="s">
        <v>212</v>
      </c>
      <c r="K73" s="580">
        <v>1999</v>
      </c>
      <c r="L73" s="580" t="s">
        <v>276</v>
      </c>
      <c r="M73" s="646">
        <v>112.5</v>
      </c>
      <c r="N73" s="730">
        <v>20.384</v>
      </c>
      <c r="O73" s="586">
        <f t="shared" si="7"/>
        <v>2293.2</v>
      </c>
      <c r="P73" s="646">
        <v>99.73</v>
      </c>
      <c r="Q73" s="730">
        <v>23.73</v>
      </c>
      <c r="R73" s="586">
        <f aca="true" t="shared" si="8" ref="R73:R104">P73*Q73</f>
        <v>2366.5929</v>
      </c>
      <c r="S73" s="586">
        <f aca="true" t="shared" si="9" ref="S73:S104">O73+R73</f>
        <v>4659.7929</v>
      </c>
    </row>
    <row r="74" spans="1:19" s="731" customFormat="1" ht="15" customHeight="1">
      <c r="A74" s="784"/>
      <c r="B74" s="784"/>
      <c r="C74" s="848"/>
      <c r="D74" s="580">
        <v>1</v>
      </c>
      <c r="E74" s="580"/>
      <c r="F74" s="580">
        <v>1</v>
      </c>
      <c r="G74" s="580">
        <v>1</v>
      </c>
      <c r="H74" s="580"/>
      <c r="I74" s="580" t="s">
        <v>212</v>
      </c>
      <c r="J74" s="562" t="s">
        <v>502</v>
      </c>
      <c r="K74" s="580">
        <v>2006</v>
      </c>
      <c r="L74" s="580" t="s">
        <v>276</v>
      </c>
      <c r="M74" s="646">
        <v>370</v>
      </c>
      <c r="N74" s="730">
        <v>20.384</v>
      </c>
      <c r="O74" s="586">
        <f t="shared" si="7"/>
        <v>7542.08</v>
      </c>
      <c r="P74" s="646">
        <v>200.48</v>
      </c>
      <c r="Q74" s="730">
        <v>23.73</v>
      </c>
      <c r="R74" s="586">
        <f t="shared" si="8"/>
        <v>4757.3904</v>
      </c>
      <c r="S74" s="586">
        <f t="shared" si="9"/>
        <v>12299.4704</v>
      </c>
    </row>
    <row r="75" spans="1:19" s="731" customFormat="1" ht="15" customHeight="1">
      <c r="A75" s="784"/>
      <c r="B75" s="850"/>
      <c r="C75" s="848"/>
      <c r="D75" s="580">
        <v>1</v>
      </c>
      <c r="E75" s="580">
        <v>1</v>
      </c>
      <c r="F75" s="580"/>
      <c r="G75" s="580">
        <v>1</v>
      </c>
      <c r="H75" s="580"/>
      <c r="I75" s="580" t="s">
        <v>212</v>
      </c>
      <c r="J75" s="580" t="s">
        <v>212</v>
      </c>
      <c r="K75" s="580">
        <v>2000</v>
      </c>
      <c r="L75" s="580" t="s">
        <v>288</v>
      </c>
      <c r="M75" s="646">
        <f>252.17-33.5</f>
        <v>218.67</v>
      </c>
      <c r="N75" s="730">
        <v>20.384</v>
      </c>
      <c r="O75" s="586">
        <f t="shared" si="7"/>
        <v>4457.36928</v>
      </c>
      <c r="P75" s="646">
        <v>137.48</v>
      </c>
      <c r="Q75" s="730">
        <v>23.73</v>
      </c>
      <c r="R75" s="586">
        <f t="shared" si="8"/>
        <v>3262.4004</v>
      </c>
      <c r="S75" s="586">
        <f t="shared" si="9"/>
        <v>7719.769679999999</v>
      </c>
    </row>
    <row r="76" spans="1:19" ht="15" customHeight="1">
      <c r="A76" s="784"/>
      <c r="B76" s="850"/>
      <c r="C76" s="848"/>
      <c r="D76" s="580">
        <v>1</v>
      </c>
      <c r="E76" s="580">
        <v>1</v>
      </c>
      <c r="F76" s="580"/>
      <c r="G76" s="580">
        <v>1</v>
      </c>
      <c r="H76" s="580"/>
      <c r="I76" s="580" t="s">
        <v>212</v>
      </c>
      <c r="J76" s="562" t="s">
        <v>212</v>
      </c>
      <c r="K76" s="580">
        <v>1998</v>
      </c>
      <c r="L76" s="580" t="s">
        <v>276</v>
      </c>
      <c r="M76" s="646">
        <v>178</v>
      </c>
      <c r="N76" s="730">
        <v>20.384</v>
      </c>
      <c r="O76" s="586">
        <f t="shared" si="7"/>
        <v>3628.352</v>
      </c>
      <c r="P76" s="646">
        <v>132.98</v>
      </c>
      <c r="Q76" s="730">
        <v>23.73</v>
      </c>
      <c r="R76" s="586">
        <f t="shared" si="8"/>
        <v>3155.6153999999997</v>
      </c>
      <c r="S76" s="586">
        <f t="shared" si="9"/>
        <v>6783.9673999999995</v>
      </c>
    </row>
    <row r="77" spans="1:19" ht="15" customHeight="1">
      <c r="A77" s="784"/>
      <c r="B77" s="850"/>
      <c r="C77" s="848"/>
      <c r="D77" s="580">
        <v>1</v>
      </c>
      <c r="E77" s="580"/>
      <c r="F77" s="580">
        <v>1</v>
      </c>
      <c r="G77" s="580">
        <v>1</v>
      </c>
      <c r="H77" s="580"/>
      <c r="I77" s="580" t="s">
        <v>212</v>
      </c>
      <c r="J77" s="562" t="s">
        <v>451</v>
      </c>
      <c r="K77" s="580">
        <v>2001</v>
      </c>
      <c r="L77" s="580" t="s">
        <v>276</v>
      </c>
      <c r="M77" s="646">
        <v>118.5</v>
      </c>
      <c r="N77" s="730">
        <v>20.384</v>
      </c>
      <c r="O77" s="586">
        <f t="shared" si="7"/>
        <v>2415.504</v>
      </c>
      <c r="P77" s="646">
        <v>97.36</v>
      </c>
      <c r="Q77" s="730">
        <v>23.73</v>
      </c>
      <c r="R77" s="586">
        <f t="shared" si="8"/>
        <v>2310.3528</v>
      </c>
      <c r="S77" s="586">
        <f t="shared" si="9"/>
        <v>4725.8568</v>
      </c>
    </row>
    <row r="78" spans="1:19" ht="15" customHeight="1">
      <c r="A78" s="784"/>
      <c r="B78" s="850"/>
      <c r="C78" s="848"/>
      <c r="D78" s="580">
        <v>1</v>
      </c>
      <c r="E78" s="580">
        <v>1</v>
      </c>
      <c r="F78" s="580"/>
      <c r="G78" s="580"/>
      <c r="H78" s="580">
        <v>1</v>
      </c>
      <c r="I78" s="580" t="s">
        <v>212</v>
      </c>
      <c r="J78" s="580" t="s">
        <v>18</v>
      </c>
      <c r="K78" s="580">
        <v>2006</v>
      </c>
      <c r="L78" s="580" t="s">
        <v>275</v>
      </c>
      <c r="M78" s="646">
        <v>0</v>
      </c>
      <c r="N78" s="730">
        <v>20.384</v>
      </c>
      <c r="O78" s="586">
        <f t="shared" si="7"/>
        <v>0</v>
      </c>
      <c r="P78" s="646">
        <v>87.48</v>
      </c>
      <c r="Q78" s="730">
        <v>23.73</v>
      </c>
      <c r="R78" s="586">
        <f t="shared" si="8"/>
        <v>2075.9004</v>
      </c>
      <c r="S78" s="586">
        <f t="shared" si="9"/>
        <v>2075.9004</v>
      </c>
    </row>
    <row r="79" spans="1:19" ht="15" customHeight="1">
      <c r="A79" s="784"/>
      <c r="B79" s="850"/>
      <c r="C79" s="848"/>
      <c r="D79" s="580">
        <v>1</v>
      </c>
      <c r="E79" s="580"/>
      <c r="F79" s="580">
        <v>1</v>
      </c>
      <c r="G79" s="580">
        <v>1</v>
      </c>
      <c r="H79" s="580"/>
      <c r="I79" s="580" t="s">
        <v>212</v>
      </c>
      <c r="J79" s="580" t="s">
        <v>503</v>
      </c>
      <c r="K79" s="580">
        <v>1997</v>
      </c>
      <c r="L79" s="580" t="s">
        <v>275</v>
      </c>
      <c r="M79" s="646">
        <v>0</v>
      </c>
      <c r="N79" s="730">
        <v>20.384</v>
      </c>
      <c r="O79" s="586">
        <f t="shared" si="7"/>
        <v>0</v>
      </c>
      <c r="P79" s="646">
        <v>107.03</v>
      </c>
      <c r="Q79" s="730">
        <v>23.73</v>
      </c>
      <c r="R79" s="586">
        <f t="shared" si="8"/>
        <v>2539.8219</v>
      </c>
      <c r="S79" s="586">
        <f t="shared" si="9"/>
        <v>2539.8219</v>
      </c>
    </row>
    <row r="80" spans="1:19" ht="15" customHeight="1">
      <c r="A80" s="784"/>
      <c r="B80" s="850"/>
      <c r="C80" s="848"/>
      <c r="D80" s="580">
        <v>1</v>
      </c>
      <c r="E80" s="580">
        <v>1</v>
      </c>
      <c r="F80" s="580"/>
      <c r="G80" s="580"/>
      <c r="H80" s="580">
        <v>1</v>
      </c>
      <c r="I80" s="580" t="s">
        <v>212</v>
      </c>
      <c r="J80" s="580" t="s">
        <v>31</v>
      </c>
      <c r="K80" s="580">
        <v>1998</v>
      </c>
      <c r="L80" s="580" t="s">
        <v>276</v>
      </c>
      <c r="M80" s="646">
        <v>128.5</v>
      </c>
      <c r="N80" s="730">
        <v>20.384</v>
      </c>
      <c r="O80" s="586">
        <f t="shared" si="7"/>
        <v>2619.344</v>
      </c>
      <c r="P80" s="646">
        <v>98.98</v>
      </c>
      <c r="Q80" s="730">
        <v>23.73</v>
      </c>
      <c r="R80" s="586">
        <f t="shared" si="8"/>
        <v>2348.7954</v>
      </c>
      <c r="S80" s="586">
        <f t="shared" si="9"/>
        <v>4968.1394</v>
      </c>
    </row>
    <row r="81" spans="1:19" ht="15" customHeight="1">
      <c r="A81" s="784"/>
      <c r="B81" s="850"/>
      <c r="C81" s="848"/>
      <c r="D81" s="580">
        <v>1</v>
      </c>
      <c r="E81" s="580"/>
      <c r="F81" s="580">
        <v>1</v>
      </c>
      <c r="G81" s="580">
        <v>1</v>
      </c>
      <c r="H81" s="580"/>
      <c r="I81" s="580" t="s">
        <v>212</v>
      </c>
      <c r="J81" s="562" t="s">
        <v>212</v>
      </c>
      <c r="K81" s="580">
        <v>1997</v>
      </c>
      <c r="L81" s="580" t="s">
        <v>275</v>
      </c>
      <c r="M81" s="646">
        <v>0</v>
      </c>
      <c r="N81" s="730">
        <v>20.384</v>
      </c>
      <c r="O81" s="586">
        <f t="shared" si="7"/>
        <v>0</v>
      </c>
      <c r="P81" s="646">
        <v>81.48</v>
      </c>
      <c r="Q81" s="730">
        <v>23.73</v>
      </c>
      <c r="R81" s="586">
        <f t="shared" si="8"/>
        <v>1933.5204</v>
      </c>
      <c r="S81" s="586">
        <f t="shared" si="9"/>
        <v>1933.5204</v>
      </c>
    </row>
    <row r="82" spans="1:19" ht="15" customHeight="1">
      <c r="A82" s="784"/>
      <c r="B82" s="850"/>
      <c r="C82" s="848"/>
      <c r="D82" s="580">
        <v>1</v>
      </c>
      <c r="E82" s="580"/>
      <c r="F82" s="580">
        <v>1</v>
      </c>
      <c r="G82" s="580">
        <v>1</v>
      </c>
      <c r="H82" s="580"/>
      <c r="I82" s="580" t="s">
        <v>212</v>
      </c>
      <c r="J82" s="562" t="s">
        <v>212</v>
      </c>
      <c r="K82" s="580">
        <v>2003</v>
      </c>
      <c r="L82" s="580" t="s">
        <v>275</v>
      </c>
      <c r="M82" s="646">
        <v>0</v>
      </c>
      <c r="N82" s="730">
        <v>20.384</v>
      </c>
      <c r="O82" s="586">
        <f t="shared" si="7"/>
        <v>0</v>
      </c>
      <c r="P82" s="646">
        <v>83.48</v>
      </c>
      <c r="Q82" s="730">
        <v>23.73</v>
      </c>
      <c r="R82" s="586">
        <f t="shared" si="8"/>
        <v>1980.9804000000001</v>
      </c>
      <c r="S82" s="586">
        <f t="shared" si="9"/>
        <v>1980.9804000000001</v>
      </c>
    </row>
    <row r="83" spans="1:19" ht="15" customHeight="1">
      <c r="A83" s="784"/>
      <c r="B83" s="784"/>
      <c r="C83" s="848"/>
      <c r="D83" s="580">
        <v>1</v>
      </c>
      <c r="E83" s="580">
        <v>1</v>
      </c>
      <c r="F83" s="580"/>
      <c r="G83" s="580">
        <v>1</v>
      </c>
      <c r="H83" s="580"/>
      <c r="I83" s="580" t="s">
        <v>212</v>
      </c>
      <c r="J83" s="562" t="s">
        <v>212</v>
      </c>
      <c r="K83" s="580">
        <v>1996</v>
      </c>
      <c r="L83" s="580" t="s">
        <v>276</v>
      </c>
      <c r="M83" s="646">
        <v>207</v>
      </c>
      <c r="N83" s="730">
        <v>20.384</v>
      </c>
      <c r="O83" s="586">
        <f t="shared" si="7"/>
        <v>4219.488</v>
      </c>
      <c r="P83" s="646">
        <v>158.48</v>
      </c>
      <c r="Q83" s="730">
        <v>23.73</v>
      </c>
      <c r="R83" s="586">
        <f t="shared" si="8"/>
        <v>3760.7304</v>
      </c>
      <c r="S83" s="586">
        <f t="shared" si="9"/>
        <v>7980.2184</v>
      </c>
    </row>
    <row r="84" spans="1:19" s="731" customFormat="1" ht="15" customHeight="1">
      <c r="A84" s="784"/>
      <c r="B84" s="784"/>
      <c r="C84" s="848"/>
      <c r="D84" s="580">
        <v>1</v>
      </c>
      <c r="E84" s="580">
        <v>1</v>
      </c>
      <c r="F84" s="580"/>
      <c r="G84" s="580">
        <v>1</v>
      </c>
      <c r="H84" s="580"/>
      <c r="I84" s="580" t="s">
        <v>212</v>
      </c>
      <c r="J84" s="562" t="s">
        <v>212</v>
      </c>
      <c r="K84" s="580">
        <v>1999</v>
      </c>
      <c r="L84" s="580" t="s">
        <v>288</v>
      </c>
      <c r="M84" s="646">
        <v>219.5</v>
      </c>
      <c r="N84" s="730">
        <v>20.384</v>
      </c>
      <c r="O84" s="586">
        <f>M84*N85</f>
        <v>4474.2880000000005</v>
      </c>
      <c r="P84" s="646">
        <v>198.48</v>
      </c>
      <c r="Q84" s="730">
        <v>23.73</v>
      </c>
      <c r="R84" s="586">
        <f t="shared" si="8"/>
        <v>4709.9304</v>
      </c>
      <c r="S84" s="586">
        <f t="shared" si="9"/>
        <v>9184.218400000002</v>
      </c>
    </row>
    <row r="85" spans="1:19" s="731" customFormat="1" ht="15" customHeight="1">
      <c r="A85" s="784"/>
      <c r="B85" s="850"/>
      <c r="C85" s="848"/>
      <c r="D85" s="580">
        <v>1</v>
      </c>
      <c r="E85" s="580">
        <v>1</v>
      </c>
      <c r="F85" s="580"/>
      <c r="G85" s="580">
        <v>1</v>
      </c>
      <c r="H85" s="580"/>
      <c r="I85" s="580" t="s">
        <v>212</v>
      </c>
      <c r="J85" s="562" t="s">
        <v>212</v>
      </c>
      <c r="K85" s="580">
        <v>1994</v>
      </c>
      <c r="L85" s="580" t="s">
        <v>276</v>
      </c>
      <c r="M85" s="646">
        <f>228.5-48</f>
        <v>180.5</v>
      </c>
      <c r="N85" s="730">
        <v>20.384</v>
      </c>
      <c r="O85" s="586">
        <f aca="true" t="shared" si="10" ref="O85:O113">M85*N85</f>
        <v>3679.312</v>
      </c>
      <c r="P85" s="646">
        <v>142.48</v>
      </c>
      <c r="Q85" s="730">
        <v>23.73</v>
      </c>
      <c r="R85" s="586">
        <f t="shared" si="8"/>
        <v>3381.0503999999996</v>
      </c>
      <c r="S85" s="586">
        <f t="shared" si="9"/>
        <v>7060.3624</v>
      </c>
    </row>
    <row r="86" spans="1:19" s="731" customFormat="1" ht="15" customHeight="1">
      <c r="A86" s="784"/>
      <c r="B86" s="850"/>
      <c r="C86" s="848"/>
      <c r="D86" s="580">
        <v>1</v>
      </c>
      <c r="E86" s="580"/>
      <c r="F86" s="580">
        <v>1</v>
      </c>
      <c r="G86" s="580">
        <v>1</v>
      </c>
      <c r="H86" s="580"/>
      <c r="I86" s="580" t="s">
        <v>212</v>
      </c>
      <c r="J86" s="562" t="s">
        <v>212</v>
      </c>
      <c r="K86" s="580">
        <v>1998</v>
      </c>
      <c r="L86" s="580" t="s">
        <v>275</v>
      </c>
      <c r="M86" s="646">
        <v>0</v>
      </c>
      <c r="N86" s="730">
        <v>20.384</v>
      </c>
      <c r="O86" s="586">
        <f t="shared" si="10"/>
        <v>0</v>
      </c>
      <c r="P86" s="646">
        <v>87.36</v>
      </c>
      <c r="Q86" s="730">
        <v>23.73</v>
      </c>
      <c r="R86" s="586">
        <f t="shared" si="8"/>
        <v>2073.0528</v>
      </c>
      <c r="S86" s="586">
        <f t="shared" si="9"/>
        <v>2073.0528</v>
      </c>
    </row>
    <row r="87" spans="1:19" s="731" customFormat="1" ht="15" customHeight="1">
      <c r="A87" s="784"/>
      <c r="B87" s="784"/>
      <c r="C87" s="848"/>
      <c r="D87" s="580">
        <v>1</v>
      </c>
      <c r="E87" s="580">
        <v>1</v>
      </c>
      <c r="F87" s="580"/>
      <c r="G87" s="580">
        <v>1</v>
      </c>
      <c r="H87" s="580"/>
      <c r="I87" s="580" t="s">
        <v>212</v>
      </c>
      <c r="J87" s="562" t="s">
        <v>212</v>
      </c>
      <c r="K87" s="580">
        <v>2006</v>
      </c>
      <c r="L87" s="580" t="s">
        <v>288</v>
      </c>
      <c r="M87" s="646">
        <v>250</v>
      </c>
      <c r="N87" s="730">
        <v>20.384</v>
      </c>
      <c r="O87" s="586">
        <f t="shared" si="10"/>
        <v>5096</v>
      </c>
      <c r="P87" s="646">
        <v>145.48</v>
      </c>
      <c r="Q87" s="730">
        <v>23.73</v>
      </c>
      <c r="R87" s="586">
        <f t="shared" si="8"/>
        <v>3452.2403999999997</v>
      </c>
      <c r="S87" s="586">
        <f t="shared" si="9"/>
        <v>8548.240399999999</v>
      </c>
    </row>
    <row r="88" spans="1:19" s="731" customFormat="1" ht="15" customHeight="1">
      <c r="A88" s="784"/>
      <c r="B88" s="850"/>
      <c r="C88" s="848"/>
      <c r="D88" s="580">
        <v>1</v>
      </c>
      <c r="E88" s="580">
        <v>1</v>
      </c>
      <c r="F88" s="580"/>
      <c r="G88" s="580">
        <v>1</v>
      </c>
      <c r="H88" s="580"/>
      <c r="I88" s="580" t="s">
        <v>212</v>
      </c>
      <c r="J88" s="562" t="s">
        <v>212</v>
      </c>
      <c r="K88" s="580">
        <v>2009</v>
      </c>
      <c r="L88" s="580" t="s">
        <v>275</v>
      </c>
      <c r="M88" s="646">
        <v>0</v>
      </c>
      <c r="N88" s="730">
        <v>20.384</v>
      </c>
      <c r="O88" s="586">
        <f t="shared" si="10"/>
        <v>0</v>
      </c>
      <c r="P88" s="646">
        <v>6</v>
      </c>
      <c r="Q88" s="730">
        <v>23.73</v>
      </c>
      <c r="R88" s="586">
        <f t="shared" si="8"/>
        <v>142.38</v>
      </c>
      <c r="S88" s="586">
        <f t="shared" si="9"/>
        <v>142.38</v>
      </c>
    </row>
    <row r="89" spans="1:19" s="731" customFormat="1" ht="15" customHeight="1">
      <c r="A89" s="784"/>
      <c r="B89" s="784"/>
      <c r="C89" s="851"/>
      <c r="D89" s="580">
        <v>1</v>
      </c>
      <c r="E89" s="580">
        <v>1</v>
      </c>
      <c r="F89" s="580"/>
      <c r="G89" s="580">
        <v>1</v>
      </c>
      <c r="H89" s="580"/>
      <c r="I89" s="580" t="s">
        <v>212</v>
      </c>
      <c r="J89" s="562" t="s">
        <v>212</v>
      </c>
      <c r="K89" s="580">
        <v>2000</v>
      </c>
      <c r="L89" s="580" t="s">
        <v>276</v>
      </c>
      <c r="M89" s="646">
        <v>135</v>
      </c>
      <c r="N89" s="730">
        <v>20.384</v>
      </c>
      <c r="O89" s="586">
        <f t="shared" si="10"/>
        <v>2751.84</v>
      </c>
      <c r="P89" s="646">
        <v>92.23</v>
      </c>
      <c r="Q89" s="730">
        <v>23.73</v>
      </c>
      <c r="R89" s="586">
        <f t="shared" si="8"/>
        <v>2188.6179</v>
      </c>
      <c r="S89" s="586">
        <f t="shared" si="9"/>
        <v>4940.4579</v>
      </c>
    </row>
    <row r="90" spans="1:19" s="731" customFormat="1" ht="15" customHeight="1">
      <c r="A90" s="784"/>
      <c r="B90" s="850"/>
      <c r="C90" s="848"/>
      <c r="D90" s="580">
        <v>1</v>
      </c>
      <c r="E90" s="580">
        <v>1</v>
      </c>
      <c r="F90" s="580"/>
      <c r="G90" s="580">
        <v>1</v>
      </c>
      <c r="H90" s="580"/>
      <c r="I90" s="580" t="s">
        <v>212</v>
      </c>
      <c r="J90" s="580" t="s">
        <v>337</v>
      </c>
      <c r="K90" s="580">
        <v>2004</v>
      </c>
      <c r="L90" s="580" t="s">
        <v>276</v>
      </c>
      <c r="M90" s="646">
        <v>142.5</v>
      </c>
      <c r="N90" s="730">
        <v>20.384</v>
      </c>
      <c r="O90" s="586">
        <f t="shared" si="10"/>
        <v>2904.7200000000003</v>
      </c>
      <c r="P90" s="646">
        <v>98.36</v>
      </c>
      <c r="Q90" s="730">
        <v>23.73</v>
      </c>
      <c r="R90" s="586">
        <f t="shared" si="8"/>
        <v>2334.0828</v>
      </c>
      <c r="S90" s="586">
        <f t="shared" si="9"/>
        <v>5238.8028</v>
      </c>
    </row>
    <row r="91" spans="1:19" s="731" customFormat="1" ht="15" customHeight="1">
      <c r="A91" s="784"/>
      <c r="B91" s="784"/>
      <c r="C91" s="848"/>
      <c r="D91" s="580">
        <v>1</v>
      </c>
      <c r="E91" s="580"/>
      <c r="F91" s="580">
        <v>1</v>
      </c>
      <c r="G91" s="580">
        <v>1</v>
      </c>
      <c r="H91" s="580"/>
      <c r="I91" s="580" t="s">
        <v>212</v>
      </c>
      <c r="J91" s="580" t="s">
        <v>212</v>
      </c>
      <c r="K91" s="580">
        <v>2006</v>
      </c>
      <c r="L91" s="580" t="s">
        <v>288</v>
      </c>
      <c r="M91" s="646">
        <v>366</v>
      </c>
      <c r="N91" s="730">
        <v>20.384</v>
      </c>
      <c r="O91" s="586">
        <f t="shared" si="10"/>
        <v>7460.544</v>
      </c>
      <c r="P91" s="646">
        <v>171.48</v>
      </c>
      <c r="Q91" s="730">
        <v>23.73</v>
      </c>
      <c r="R91" s="586">
        <f t="shared" si="8"/>
        <v>4069.2203999999997</v>
      </c>
      <c r="S91" s="586">
        <f t="shared" si="9"/>
        <v>11529.7644</v>
      </c>
    </row>
    <row r="92" spans="1:19" s="731" customFormat="1" ht="15" customHeight="1">
      <c r="A92" s="784"/>
      <c r="B92" s="784"/>
      <c r="C92" s="848"/>
      <c r="D92" s="580">
        <v>1</v>
      </c>
      <c r="E92" s="580">
        <v>1</v>
      </c>
      <c r="F92" s="580"/>
      <c r="G92" s="580">
        <v>1</v>
      </c>
      <c r="H92" s="580"/>
      <c r="I92" s="580" t="s">
        <v>212</v>
      </c>
      <c r="J92" s="580" t="s">
        <v>212</v>
      </c>
      <c r="K92" s="580">
        <v>2002</v>
      </c>
      <c r="L92" s="580" t="s">
        <v>288</v>
      </c>
      <c r="M92" s="646">
        <v>387.5</v>
      </c>
      <c r="N92" s="730">
        <v>20.384</v>
      </c>
      <c r="O92" s="586">
        <f t="shared" si="10"/>
        <v>7898.8</v>
      </c>
      <c r="P92" s="646">
        <v>185.48</v>
      </c>
      <c r="Q92" s="730">
        <v>23.73</v>
      </c>
      <c r="R92" s="586">
        <f t="shared" si="8"/>
        <v>4401.4403999999995</v>
      </c>
      <c r="S92" s="586">
        <f t="shared" si="9"/>
        <v>12300.240399999999</v>
      </c>
    </row>
    <row r="93" spans="1:19" ht="15" customHeight="1">
      <c r="A93" s="784"/>
      <c r="B93" s="784"/>
      <c r="C93" s="848"/>
      <c r="D93" s="580">
        <v>1</v>
      </c>
      <c r="E93" s="580">
        <v>1</v>
      </c>
      <c r="F93" s="580"/>
      <c r="G93" s="580">
        <v>1</v>
      </c>
      <c r="H93" s="580"/>
      <c r="I93" s="580" t="s">
        <v>212</v>
      </c>
      <c r="J93" s="562" t="s">
        <v>212</v>
      </c>
      <c r="K93" s="580">
        <v>2006</v>
      </c>
      <c r="L93" s="580" t="s">
        <v>276</v>
      </c>
      <c r="M93" s="646">
        <v>436</v>
      </c>
      <c r="N93" s="730">
        <v>20.384</v>
      </c>
      <c r="O93" s="586">
        <f t="shared" si="10"/>
        <v>8887.424</v>
      </c>
      <c r="P93" s="646">
        <v>230.98</v>
      </c>
      <c r="Q93" s="730">
        <v>23.73</v>
      </c>
      <c r="R93" s="586">
        <f t="shared" si="8"/>
        <v>5481.1554</v>
      </c>
      <c r="S93" s="586">
        <f t="shared" si="9"/>
        <v>14368.5794</v>
      </c>
    </row>
    <row r="94" spans="1:19" ht="15" customHeight="1">
      <c r="A94" s="784"/>
      <c r="B94" s="784"/>
      <c r="C94" s="848"/>
      <c r="D94" s="580">
        <v>1</v>
      </c>
      <c r="E94" s="580">
        <v>1</v>
      </c>
      <c r="F94" s="580"/>
      <c r="G94" s="580">
        <v>1</v>
      </c>
      <c r="H94" s="580"/>
      <c r="I94" s="580" t="s">
        <v>212</v>
      </c>
      <c r="J94" s="562" t="s">
        <v>212</v>
      </c>
      <c r="K94" s="580">
        <v>2001</v>
      </c>
      <c r="L94" s="580" t="s">
        <v>276</v>
      </c>
      <c r="M94" s="646">
        <v>482.55</v>
      </c>
      <c r="N94" s="730">
        <v>20.384</v>
      </c>
      <c r="O94" s="586">
        <f t="shared" si="10"/>
        <v>9836.299200000001</v>
      </c>
      <c r="P94" s="646">
        <f>144.98+121.98</f>
        <v>266.96</v>
      </c>
      <c r="Q94" s="730">
        <v>23.73</v>
      </c>
      <c r="R94" s="586">
        <f t="shared" si="8"/>
        <v>6334.9608</v>
      </c>
      <c r="S94" s="586">
        <f t="shared" si="9"/>
        <v>16171.260000000002</v>
      </c>
    </row>
    <row r="95" spans="1:19" ht="15" customHeight="1">
      <c r="A95" s="784"/>
      <c r="B95" s="784"/>
      <c r="C95" s="848"/>
      <c r="D95" s="580">
        <v>1</v>
      </c>
      <c r="E95" s="580">
        <v>1</v>
      </c>
      <c r="F95" s="580"/>
      <c r="G95" s="580"/>
      <c r="H95" s="580">
        <v>1</v>
      </c>
      <c r="I95" s="580" t="s">
        <v>212</v>
      </c>
      <c r="J95" s="562" t="s">
        <v>20</v>
      </c>
      <c r="K95" s="580">
        <v>2004</v>
      </c>
      <c r="L95" s="580" t="s">
        <v>276</v>
      </c>
      <c r="M95" s="646">
        <v>461.75</v>
      </c>
      <c r="N95" s="730">
        <v>20.384</v>
      </c>
      <c r="O95" s="586">
        <f t="shared" si="10"/>
        <v>9412.312</v>
      </c>
      <c r="P95" s="646">
        <f>165.48+89.98</f>
        <v>255.45999999999998</v>
      </c>
      <c r="Q95" s="730">
        <v>23.73</v>
      </c>
      <c r="R95" s="586">
        <f t="shared" si="8"/>
        <v>6062.065799999999</v>
      </c>
      <c r="S95" s="586">
        <f t="shared" si="9"/>
        <v>15474.377799999998</v>
      </c>
    </row>
    <row r="96" spans="1:19" s="731" customFormat="1" ht="15" customHeight="1">
      <c r="A96" s="784"/>
      <c r="B96" s="850"/>
      <c r="C96" s="848"/>
      <c r="D96" s="580">
        <v>1</v>
      </c>
      <c r="E96" s="580">
        <v>1</v>
      </c>
      <c r="F96" s="580"/>
      <c r="G96" s="580"/>
      <c r="H96" s="580">
        <v>1</v>
      </c>
      <c r="I96" s="580" t="s">
        <v>212</v>
      </c>
      <c r="J96" s="580" t="s">
        <v>500</v>
      </c>
      <c r="K96" s="580">
        <v>1994</v>
      </c>
      <c r="L96" s="580" t="s">
        <v>276</v>
      </c>
      <c r="M96" s="646">
        <v>420</v>
      </c>
      <c r="N96" s="730">
        <v>20.384</v>
      </c>
      <c r="O96" s="586">
        <f t="shared" si="10"/>
        <v>8561.28</v>
      </c>
      <c r="P96" s="646">
        <f>61.48+44.25</f>
        <v>105.72999999999999</v>
      </c>
      <c r="Q96" s="730">
        <v>23.73</v>
      </c>
      <c r="R96" s="586">
        <f t="shared" si="8"/>
        <v>2508.9728999999998</v>
      </c>
      <c r="S96" s="586">
        <f t="shared" si="9"/>
        <v>11070.2529</v>
      </c>
    </row>
    <row r="97" spans="1:19" s="731" customFormat="1" ht="15" customHeight="1">
      <c r="A97" s="784"/>
      <c r="B97" s="784"/>
      <c r="C97" s="848"/>
      <c r="D97" s="580">
        <v>1</v>
      </c>
      <c r="E97" s="580">
        <v>1</v>
      </c>
      <c r="F97" s="580"/>
      <c r="G97" s="580">
        <v>1</v>
      </c>
      <c r="H97" s="580"/>
      <c r="I97" s="580" t="s">
        <v>212</v>
      </c>
      <c r="J97" s="580" t="s">
        <v>212</v>
      </c>
      <c r="K97" s="580">
        <v>2003</v>
      </c>
      <c r="L97" s="580" t="s">
        <v>288</v>
      </c>
      <c r="M97" s="646">
        <v>463</v>
      </c>
      <c r="N97" s="730">
        <v>20.384</v>
      </c>
      <c r="O97" s="586">
        <f t="shared" si="10"/>
        <v>9437.792</v>
      </c>
      <c r="P97" s="646">
        <v>257.48</v>
      </c>
      <c r="Q97" s="730">
        <v>23.73</v>
      </c>
      <c r="R97" s="586">
        <f t="shared" si="8"/>
        <v>6110.000400000001</v>
      </c>
      <c r="S97" s="586">
        <f t="shared" si="9"/>
        <v>15547.7924</v>
      </c>
    </row>
    <row r="98" spans="1:19" s="731" customFormat="1" ht="15" customHeight="1">
      <c r="A98" s="784"/>
      <c r="B98" s="784"/>
      <c r="C98" s="848"/>
      <c r="D98" s="580">
        <v>1</v>
      </c>
      <c r="E98" s="580"/>
      <c r="F98" s="580">
        <v>1</v>
      </c>
      <c r="G98" s="580"/>
      <c r="H98" s="580">
        <v>1</v>
      </c>
      <c r="I98" s="580" t="s">
        <v>212</v>
      </c>
      <c r="J98" s="562" t="s">
        <v>342</v>
      </c>
      <c r="K98" s="580">
        <v>1997</v>
      </c>
      <c r="L98" s="580" t="s">
        <v>275</v>
      </c>
      <c r="M98" s="646">
        <v>0</v>
      </c>
      <c r="N98" s="730">
        <v>20.384</v>
      </c>
      <c r="O98" s="586">
        <f t="shared" si="10"/>
        <v>0</v>
      </c>
      <c r="P98" s="646">
        <v>89.73</v>
      </c>
      <c r="Q98" s="730">
        <v>23.73</v>
      </c>
      <c r="R98" s="586">
        <f t="shared" si="8"/>
        <v>2129.2929</v>
      </c>
      <c r="S98" s="586">
        <f t="shared" si="9"/>
        <v>2129.2929</v>
      </c>
    </row>
    <row r="99" spans="1:19" s="731" customFormat="1" ht="15" customHeight="1">
      <c r="A99" s="784"/>
      <c r="B99" s="850"/>
      <c r="C99" s="848"/>
      <c r="D99" s="580">
        <v>1</v>
      </c>
      <c r="E99" s="580">
        <v>1</v>
      </c>
      <c r="F99" s="580"/>
      <c r="G99" s="580">
        <v>1</v>
      </c>
      <c r="H99" s="580"/>
      <c r="I99" s="580" t="s">
        <v>212</v>
      </c>
      <c r="J99" s="562" t="s">
        <v>212</v>
      </c>
      <c r="K99" s="580">
        <v>2000</v>
      </c>
      <c r="L99" s="580" t="s">
        <v>276</v>
      </c>
      <c r="M99" s="646">
        <v>134.5</v>
      </c>
      <c r="N99" s="730">
        <v>20.384</v>
      </c>
      <c r="O99" s="586">
        <f t="shared" si="10"/>
        <v>2741.648</v>
      </c>
      <c r="P99" s="646">
        <v>88.86</v>
      </c>
      <c r="Q99" s="730">
        <v>23.73</v>
      </c>
      <c r="R99" s="586">
        <f t="shared" si="8"/>
        <v>2108.6478</v>
      </c>
      <c r="S99" s="586">
        <f t="shared" si="9"/>
        <v>4850.2958</v>
      </c>
    </row>
    <row r="100" spans="1:19" s="731" customFormat="1" ht="15" customHeight="1">
      <c r="A100" s="784"/>
      <c r="B100" s="850"/>
      <c r="C100" s="848"/>
      <c r="D100" s="580">
        <v>1</v>
      </c>
      <c r="E100" s="580">
        <v>1</v>
      </c>
      <c r="F100" s="580"/>
      <c r="G100" s="580">
        <v>1</v>
      </c>
      <c r="H100" s="580"/>
      <c r="I100" s="580" t="s">
        <v>212</v>
      </c>
      <c r="J100" s="580" t="s">
        <v>212</v>
      </c>
      <c r="K100" s="580">
        <v>2003</v>
      </c>
      <c r="L100" s="580" t="s">
        <v>288</v>
      </c>
      <c r="M100" s="646">
        <v>135.5</v>
      </c>
      <c r="N100" s="730">
        <v>20.384</v>
      </c>
      <c r="O100" s="586">
        <f t="shared" si="10"/>
        <v>2762.032</v>
      </c>
      <c r="P100" s="646">
        <v>86.48</v>
      </c>
      <c r="Q100" s="730">
        <v>23.73</v>
      </c>
      <c r="R100" s="586">
        <f t="shared" si="8"/>
        <v>2052.1704</v>
      </c>
      <c r="S100" s="586">
        <f t="shared" si="9"/>
        <v>4814.2024</v>
      </c>
    </row>
    <row r="101" spans="1:19" s="731" customFormat="1" ht="15" customHeight="1">
      <c r="A101" s="784"/>
      <c r="B101" s="850"/>
      <c r="C101" s="848"/>
      <c r="D101" s="580">
        <v>1</v>
      </c>
      <c r="E101" s="580">
        <v>1</v>
      </c>
      <c r="F101" s="580"/>
      <c r="G101" s="580">
        <v>1</v>
      </c>
      <c r="H101" s="580"/>
      <c r="I101" s="580" t="s">
        <v>212</v>
      </c>
      <c r="J101" s="580" t="s">
        <v>212</v>
      </c>
      <c r="K101" s="580">
        <v>2005</v>
      </c>
      <c r="L101" s="580" t="s">
        <v>275</v>
      </c>
      <c r="M101" s="646">
        <v>0</v>
      </c>
      <c r="N101" s="730">
        <v>20.384</v>
      </c>
      <c r="O101" s="586">
        <f t="shared" si="10"/>
        <v>0</v>
      </c>
      <c r="P101" s="646">
        <v>84.36</v>
      </c>
      <c r="Q101" s="730">
        <v>23.73</v>
      </c>
      <c r="R101" s="586">
        <f t="shared" si="8"/>
        <v>2001.8628</v>
      </c>
      <c r="S101" s="586">
        <f t="shared" si="9"/>
        <v>2001.8628</v>
      </c>
    </row>
    <row r="102" spans="1:19" s="731" customFormat="1" ht="15" customHeight="1">
      <c r="A102" s="784"/>
      <c r="B102" s="784"/>
      <c r="C102" s="848"/>
      <c r="D102" s="580">
        <v>1</v>
      </c>
      <c r="E102" s="580">
        <v>1</v>
      </c>
      <c r="F102" s="580"/>
      <c r="G102" s="580">
        <v>1</v>
      </c>
      <c r="H102" s="580"/>
      <c r="I102" s="580" t="s">
        <v>212</v>
      </c>
      <c r="J102" s="562" t="s">
        <v>212</v>
      </c>
      <c r="K102" s="580">
        <v>2002</v>
      </c>
      <c r="L102" s="580" t="s">
        <v>276</v>
      </c>
      <c r="M102" s="646">
        <v>367.75</v>
      </c>
      <c r="N102" s="730">
        <v>20.384</v>
      </c>
      <c r="O102" s="586">
        <f t="shared" si="10"/>
        <v>7496.216</v>
      </c>
      <c r="P102" s="646">
        <f>168.48+88.98</f>
        <v>257.46</v>
      </c>
      <c r="Q102" s="730">
        <v>23.73</v>
      </c>
      <c r="R102" s="586">
        <f t="shared" si="8"/>
        <v>6109.525799999999</v>
      </c>
      <c r="S102" s="586">
        <f t="shared" si="9"/>
        <v>13605.7418</v>
      </c>
    </row>
    <row r="103" spans="1:19" s="731" customFormat="1" ht="15" customHeight="1">
      <c r="A103" s="784"/>
      <c r="B103" s="850"/>
      <c r="C103" s="848"/>
      <c r="D103" s="580">
        <v>1</v>
      </c>
      <c r="E103" s="580"/>
      <c r="F103" s="580">
        <v>1</v>
      </c>
      <c r="G103" s="580">
        <v>1</v>
      </c>
      <c r="H103" s="580"/>
      <c r="I103" s="580" t="s">
        <v>212</v>
      </c>
      <c r="J103" s="562" t="s">
        <v>212</v>
      </c>
      <c r="K103" s="580">
        <v>2004</v>
      </c>
      <c r="L103" s="580" t="s">
        <v>288</v>
      </c>
      <c r="M103" s="646">
        <v>423</v>
      </c>
      <c r="N103" s="730">
        <v>20.384</v>
      </c>
      <c r="O103" s="586">
        <f t="shared" si="10"/>
        <v>8622.432</v>
      </c>
      <c r="P103" s="646">
        <v>237.98</v>
      </c>
      <c r="Q103" s="730">
        <v>23.73</v>
      </c>
      <c r="R103" s="586">
        <f t="shared" si="8"/>
        <v>5647.2654</v>
      </c>
      <c r="S103" s="586">
        <f t="shared" si="9"/>
        <v>14269.697400000001</v>
      </c>
    </row>
    <row r="104" spans="1:19" s="731" customFormat="1" ht="15" customHeight="1">
      <c r="A104" s="784"/>
      <c r="B104" s="784"/>
      <c r="C104" s="848"/>
      <c r="D104" s="580">
        <v>1</v>
      </c>
      <c r="E104" s="580">
        <v>1</v>
      </c>
      <c r="F104" s="580"/>
      <c r="G104" s="580"/>
      <c r="H104" s="580">
        <v>1</v>
      </c>
      <c r="I104" s="580" t="s">
        <v>212</v>
      </c>
      <c r="J104" s="562" t="s">
        <v>327</v>
      </c>
      <c r="K104" s="580">
        <v>2009</v>
      </c>
      <c r="L104" s="580" t="s">
        <v>275</v>
      </c>
      <c r="M104" s="646">
        <v>0</v>
      </c>
      <c r="N104" s="730">
        <v>20.384</v>
      </c>
      <c r="O104" s="586">
        <f t="shared" si="10"/>
        <v>0</v>
      </c>
      <c r="P104" s="646">
        <v>80.98</v>
      </c>
      <c r="Q104" s="730">
        <v>23.73</v>
      </c>
      <c r="R104" s="586">
        <f t="shared" si="8"/>
        <v>1921.6554</v>
      </c>
      <c r="S104" s="586">
        <f t="shared" si="9"/>
        <v>1921.6554</v>
      </c>
    </row>
    <row r="105" spans="1:19" s="731" customFormat="1" ht="15" customHeight="1">
      <c r="A105" s="784"/>
      <c r="B105" s="850"/>
      <c r="C105" s="851"/>
      <c r="D105" s="580">
        <v>1</v>
      </c>
      <c r="E105" s="580">
        <v>1</v>
      </c>
      <c r="F105" s="580"/>
      <c r="G105" s="580">
        <v>1</v>
      </c>
      <c r="H105" s="580"/>
      <c r="I105" s="580" t="s">
        <v>212</v>
      </c>
      <c r="J105" s="580" t="s">
        <v>212</v>
      </c>
      <c r="K105" s="580">
        <v>2009</v>
      </c>
      <c r="L105" s="580" t="s">
        <v>275</v>
      </c>
      <c r="M105" s="646">
        <v>0</v>
      </c>
      <c r="N105" s="730">
        <v>20.384</v>
      </c>
      <c r="O105" s="586">
        <f t="shared" si="10"/>
        <v>0</v>
      </c>
      <c r="P105" s="646">
        <v>111.36</v>
      </c>
      <c r="Q105" s="730">
        <v>23.73</v>
      </c>
      <c r="R105" s="586">
        <f aca="true" t="shared" si="11" ref="R105:R128">P105*Q105</f>
        <v>2642.5728</v>
      </c>
      <c r="S105" s="586">
        <f aca="true" t="shared" si="12" ref="S105:S128">O105+R105</f>
        <v>2642.5728</v>
      </c>
    </row>
    <row r="106" spans="1:19" s="731" customFormat="1" ht="15" customHeight="1">
      <c r="A106" s="784"/>
      <c r="B106" s="850"/>
      <c r="C106" s="851"/>
      <c r="D106" s="580">
        <v>1</v>
      </c>
      <c r="E106" s="580">
        <v>1</v>
      </c>
      <c r="F106" s="580"/>
      <c r="G106" s="580"/>
      <c r="H106" s="580">
        <v>1</v>
      </c>
      <c r="I106" s="580" t="s">
        <v>212</v>
      </c>
      <c r="J106" s="580" t="s">
        <v>327</v>
      </c>
      <c r="K106" s="580">
        <v>1998</v>
      </c>
      <c r="L106" s="580" t="s">
        <v>276</v>
      </c>
      <c r="M106" s="646">
        <v>127</v>
      </c>
      <c r="N106" s="730">
        <v>20.384</v>
      </c>
      <c r="O106" s="586">
        <f t="shared" si="10"/>
        <v>2588.768</v>
      </c>
      <c r="P106" s="646">
        <v>88.48</v>
      </c>
      <c r="Q106" s="730">
        <v>23.73</v>
      </c>
      <c r="R106" s="586">
        <f t="shared" si="11"/>
        <v>2099.6304</v>
      </c>
      <c r="S106" s="586">
        <f t="shared" si="12"/>
        <v>4688.3984</v>
      </c>
    </row>
    <row r="107" spans="1:19" s="744" customFormat="1" ht="15" customHeight="1">
      <c r="A107" s="784"/>
      <c r="B107" s="850"/>
      <c r="C107" s="848"/>
      <c r="D107" s="580">
        <v>1</v>
      </c>
      <c r="E107" s="580">
        <v>1</v>
      </c>
      <c r="F107" s="580"/>
      <c r="G107" s="580"/>
      <c r="H107" s="580">
        <v>1</v>
      </c>
      <c r="I107" s="580" t="s">
        <v>212</v>
      </c>
      <c r="J107" s="562" t="s">
        <v>343</v>
      </c>
      <c r="K107" s="580">
        <v>2007</v>
      </c>
      <c r="L107" s="580" t="s">
        <v>276</v>
      </c>
      <c r="M107" s="646">
        <v>154</v>
      </c>
      <c r="N107" s="730">
        <v>20.384</v>
      </c>
      <c r="O107" s="586">
        <f t="shared" si="10"/>
        <v>3139.136</v>
      </c>
      <c r="P107" s="646">
        <v>120.98</v>
      </c>
      <c r="Q107" s="730">
        <v>23.73</v>
      </c>
      <c r="R107" s="586">
        <f t="shared" si="11"/>
        <v>2870.8554000000004</v>
      </c>
      <c r="S107" s="586">
        <f t="shared" si="12"/>
        <v>6009.991400000001</v>
      </c>
    </row>
    <row r="108" spans="1:19" s="744" customFormat="1" ht="15" customHeight="1">
      <c r="A108" s="784"/>
      <c r="B108" s="850"/>
      <c r="C108" s="848"/>
      <c r="D108" s="580">
        <v>1</v>
      </c>
      <c r="E108" s="580">
        <v>1</v>
      </c>
      <c r="F108" s="580"/>
      <c r="G108" s="580">
        <v>1</v>
      </c>
      <c r="H108" s="580"/>
      <c r="I108" s="580" t="s">
        <v>212</v>
      </c>
      <c r="J108" s="580" t="s">
        <v>212</v>
      </c>
      <c r="K108" s="580">
        <v>2005</v>
      </c>
      <c r="L108" s="580" t="s">
        <v>275</v>
      </c>
      <c r="M108" s="646">
        <v>0</v>
      </c>
      <c r="N108" s="730">
        <v>20.384</v>
      </c>
      <c r="O108" s="586">
        <f t="shared" si="10"/>
        <v>0</v>
      </c>
      <c r="P108" s="646">
        <v>82.36</v>
      </c>
      <c r="Q108" s="730">
        <v>23.73</v>
      </c>
      <c r="R108" s="586">
        <f t="shared" si="11"/>
        <v>1954.4028</v>
      </c>
      <c r="S108" s="586">
        <f t="shared" si="12"/>
        <v>1954.4028</v>
      </c>
    </row>
    <row r="109" spans="1:19" s="744" customFormat="1" ht="15" customHeight="1">
      <c r="A109" s="784"/>
      <c r="B109" s="850"/>
      <c r="C109" s="848"/>
      <c r="D109" s="580">
        <v>1</v>
      </c>
      <c r="E109" s="580">
        <v>1</v>
      </c>
      <c r="F109" s="580"/>
      <c r="G109" s="580">
        <v>1</v>
      </c>
      <c r="H109" s="580"/>
      <c r="I109" s="580" t="s">
        <v>212</v>
      </c>
      <c r="J109" s="562" t="s">
        <v>212</v>
      </c>
      <c r="K109" s="580">
        <v>2007</v>
      </c>
      <c r="L109" s="580" t="s">
        <v>275</v>
      </c>
      <c r="M109" s="646">
        <v>0</v>
      </c>
      <c r="N109" s="730">
        <v>20.384</v>
      </c>
      <c r="O109" s="586">
        <f t="shared" si="10"/>
        <v>0</v>
      </c>
      <c r="P109" s="646">
        <v>139.73</v>
      </c>
      <c r="Q109" s="730">
        <v>23.73</v>
      </c>
      <c r="R109" s="586">
        <f t="shared" si="11"/>
        <v>3315.7929</v>
      </c>
      <c r="S109" s="586">
        <f t="shared" si="12"/>
        <v>3315.7929</v>
      </c>
    </row>
    <row r="110" spans="1:19" s="744" customFormat="1" ht="15" customHeight="1">
      <c r="A110" s="784"/>
      <c r="B110" s="850"/>
      <c r="C110" s="848"/>
      <c r="D110" s="580">
        <v>1</v>
      </c>
      <c r="E110" s="580"/>
      <c r="F110" s="580">
        <v>1</v>
      </c>
      <c r="G110" s="580"/>
      <c r="H110" s="580">
        <v>1</v>
      </c>
      <c r="I110" s="580" t="s">
        <v>327</v>
      </c>
      <c r="J110" s="562" t="s">
        <v>327</v>
      </c>
      <c r="K110" s="580">
        <v>1993</v>
      </c>
      <c r="L110" s="580" t="s">
        <v>276</v>
      </c>
      <c r="M110" s="646">
        <v>399.75</v>
      </c>
      <c r="N110" s="730">
        <v>20.384</v>
      </c>
      <c r="O110" s="586">
        <f t="shared" si="10"/>
        <v>8148.504</v>
      </c>
      <c r="P110" s="646">
        <v>194.98</v>
      </c>
      <c r="Q110" s="730">
        <v>23.73</v>
      </c>
      <c r="R110" s="586">
        <f t="shared" si="11"/>
        <v>4626.8754</v>
      </c>
      <c r="S110" s="586">
        <f t="shared" si="12"/>
        <v>12775.3794</v>
      </c>
    </row>
    <row r="111" spans="1:19" s="744" customFormat="1" ht="15" customHeight="1">
      <c r="A111" s="784"/>
      <c r="B111" s="850"/>
      <c r="C111" s="848"/>
      <c r="D111" s="580">
        <v>1</v>
      </c>
      <c r="E111" s="580">
        <v>1</v>
      </c>
      <c r="F111" s="580"/>
      <c r="G111" s="580">
        <v>1</v>
      </c>
      <c r="H111" s="580"/>
      <c r="I111" s="580" t="s">
        <v>212</v>
      </c>
      <c r="J111" s="562" t="s">
        <v>212</v>
      </c>
      <c r="K111" s="580">
        <v>1997</v>
      </c>
      <c r="L111" s="580" t="s">
        <v>276</v>
      </c>
      <c r="M111" s="646">
        <v>159</v>
      </c>
      <c r="N111" s="730">
        <v>20.384</v>
      </c>
      <c r="O111" s="586">
        <f t="shared" si="10"/>
        <v>3241.056</v>
      </c>
      <c r="P111" s="646">
        <v>84.36</v>
      </c>
      <c r="Q111" s="730">
        <v>23.73</v>
      </c>
      <c r="R111" s="586">
        <f t="shared" si="11"/>
        <v>2001.8628</v>
      </c>
      <c r="S111" s="586">
        <f t="shared" si="12"/>
        <v>5242.9188</v>
      </c>
    </row>
    <row r="112" spans="1:19" s="744" customFormat="1" ht="15" customHeight="1">
      <c r="A112" s="784"/>
      <c r="B112" s="850"/>
      <c r="C112" s="848"/>
      <c r="D112" s="580">
        <v>1</v>
      </c>
      <c r="E112" s="580"/>
      <c r="F112" s="580">
        <v>1</v>
      </c>
      <c r="G112" s="580">
        <v>1</v>
      </c>
      <c r="H112" s="580"/>
      <c r="I112" s="580" t="s">
        <v>212</v>
      </c>
      <c r="J112" s="562" t="s">
        <v>212</v>
      </c>
      <c r="K112" s="580">
        <v>2005</v>
      </c>
      <c r="L112" s="580" t="s">
        <v>275</v>
      </c>
      <c r="M112" s="646">
        <v>0</v>
      </c>
      <c r="N112" s="730">
        <v>20.384</v>
      </c>
      <c r="O112" s="586">
        <f t="shared" si="10"/>
        <v>0</v>
      </c>
      <c r="P112" s="646">
        <v>84.73</v>
      </c>
      <c r="Q112" s="730">
        <v>23.73</v>
      </c>
      <c r="R112" s="586">
        <f t="shared" si="11"/>
        <v>2010.6429</v>
      </c>
      <c r="S112" s="586">
        <f t="shared" si="12"/>
        <v>2010.6429</v>
      </c>
    </row>
    <row r="113" spans="1:19" s="744" customFormat="1" ht="15" customHeight="1">
      <c r="A113" s="784"/>
      <c r="B113" s="850"/>
      <c r="C113" s="848"/>
      <c r="D113" s="580">
        <v>1</v>
      </c>
      <c r="E113" s="580">
        <v>1</v>
      </c>
      <c r="F113" s="580"/>
      <c r="G113" s="580">
        <v>1</v>
      </c>
      <c r="H113" s="580"/>
      <c r="I113" s="580" t="s">
        <v>212</v>
      </c>
      <c r="J113" s="562" t="s">
        <v>212</v>
      </c>
      <c r="K113" s="580">
        <v>2001</v>
      </c>
      <c r="L113" s="580" t="s">
        <v>276</v>
      </c>
      <c r="M113" s="646">
        <v>122</v>
      </c>
      <c r="N113" s="730">
        <v>20.384</v>
      </c>
      <c r="O113" s="586">
        <f t="shared" si="10"/>
        <v>2486.848</v>
      </c>
      <c r="P113" s="646">
        <v>87.78</v>
      </c>
      <c r="Q113" s="730">
        <v>23.73</v>
      </c>
      <c r="R113" s="586">
        <f t="shared" si="11"/>
        <v>2083.0194</v>
      </c>
      <c r="S113" s="586">
        <f t="shared" si="12"/>
        <v>4569.8674</v>
      </c>
    </row>
    <row r="114" spans="1:19" s="744" customFormat="1" ht="15" customHeight="1">
      <c r="A114" s="784"/>
      <c r="B114" s="784"/>
      <c r="C114" s="848"/>
      <c r="D114" s="580">
        <v>1</v>
      </c>
      <c r="E114" s="580"/>
      <c r="F114" s="580">
        <v>1</v>
      </c>
      <c r="G114" s="580">
        <v>1</v>
      </c>
      <c r="H114" s="580"/>
      <c r="I114" s="562" t="s">
        <v>212</v>
      </c>
      <c r="J114" s="562" t="s">
        <v>212</v>
      </c>
      <c r="K114" s="580">
        <v>1994</v>
      </c>
      <c r="L114" s="580" t="s">
        <v>53</v>
      </c>
      <c r="M114" s="646">
        <v>236</v>
      </c>
      <c r="N114" s="730">
        <v>20.644</v>
      </c>
      <c r="O114" s="586">
        <f>825.76+846.4+722.54+928.98+1176.71+371.59+0.04</f>
        <v>4872.0199999999995</v>
      </c>
      <c r="P114" s="646">
        <v>0</v>
      </c>
      <c r="Q114" s="730">
        <v>23.73</v>
      </c>
      <c r="R114" s="586">
        <f t="shared" si="11"/>
        <v>0</v>
      </c>
      <c r="S114" s="586">
        <f t="shared" si="12"/>
        <v>4872.0199999999995</v>
      </c>
    </row>
    <row r="115" spans="1:19" s="744" customFormat="1" ht="15" customHeight="1">
      <c r="A115" s="784"/>
      <c r="B115" s="784"/>
      <c r="C115" s="848"/>
      <c r="D115" s="580">
        <v>1</v>
      </c>
      <c r="E115" s="580">
        <v>1</v>
      </c>
      <c r="F115" s="580"/>
      <c r="G115" s="580">
        <v>1</v>
      </c>
      <c r="H115" s="580"/>
      <c r="I115" s="562" t="s">
        <v>212</v>
      </c>
      <c r="J115" s="562" t="s">
        <v>212</v>
      </c>
      <c r="K115" s="580">
        <v>2004</v>
      </c>
      <c r="L115" s="580" t="s">
        <v>276</v>
      </c>
      <c r="M115" s="646">
        <v>412.25</v>
      </c>
      <c r="N115" s="730">
        <v>20.384</v>
      </c>
      <c r="O115" s="586">
        <f>M115*N115</f>
        <v>8403.304</v>
      </c>
      <c r="P115" s="646">
        <v>281.23</v>
      </c>
      <c r="Q115" s="730">
        <v>23.73</v>
      </c>
      <c r="R115" s="586">
        <f t="shared" si="11"/>
        <v>6673.5879</v>
      </c>
      <c r="S115" s="586">
        <f t="shared" si="12"/>
        <v>15076.8919</v>
      </c>
    </row>
    <row r="116" spans="1:19" s="744" customFormat="1" ht="15" customHeight="1">
      <c r="A116" s="784"/>
      <c r="B116" s="850"/>
      <c r="C116" s="848"/>
      <c r="D116" s="580">
        <v>1</v>
      </c>
      <c r="E116" s="580">
        <v>1</v>
      </c>
      <c r="F116" s="580"/>
      <c r="G116" s="580">
        <v>1</v>
      </c>
      <c r="H116" s="580"/>
      <c r="I116" s="562" t="s">
        <v>212</v>
      </c>
      <c r="J116" s="562" t="s">
        <v>212</v>
      </c>
      <c r="K116" s="580">
        <v>1999</v>
      </c>
      <c r="L116" s="580" t="s">
        <v>288</v>
      </c>
      <c r="M116" s="646">
        <v>215</v>
      </c>
      <c r="N116" s="730">
        <v>20.384</v>
      </c>
      <c r="O116" s="586">
        <f>M116*N116</f>
        <v>4382.56</v>
      </c>
      <c r="P116" s="646">
        <v>173.48</v>
      </c>
      <c r="Q116" s="730">
        <v>23.73</v>
      </c>
      <c r="R116" s="586">
        <f t="shared" si="11"/>
        <v>4116.6804</v>
      </c>
      <c r="S116" s="586">
        <f t="shared" si="12"/>
        <v>8499.2404</v>
      </c>
    </row>
    <row r="117" spans="1:19" s="744" customFormat="1" ht="15" customHeight="1">
      <c r="A117" s="784"/>
      <c r="B117" s="850"/>
      <c r="C117" s="848"/>
      <c r="D117" s="580">
        <v>1</v>
      </c>
      <c r="E117" s="580">
        <v>1</v>
      </c>
      <c r="F117" s="580"/>
      <c r="G117" s="580">
        <v>1</v>
      </c>
      <c r="H117" s="580"/>
      <c r="I117" s="580" t="s">
        <v>212</v>
      </c>
      <c r="J117" s="562" t="s">
        <v>212</v>
      </c>
      <c r="K117" s="580">
        <v>1994</v>
      </c>
      <c r="L117" s="580" t="s">
        <v>276</v>
      </c>
      <c r="M117" s="646">
        <v>194</v>
      </c>
      <c r="N117" s="730">
        <v>20.384</v>
      </c>
      <c r="O117" s="586">
        <f>M117*N117</f>
        <v>3954.496</v>
      </c>
      <c r="P117" s="646">
        <v>114.98</v>
      </c>
      <c r="Q117" s="730">
        <v>23.73</v>
      </c>
      <c r="R117" s="586">
        <f t="shared" si="11"/>
        <v>2728.4754000000003</v>
      </c>
      <c r="S117" s="586">
        <f t="shared" si="12"/>
        <v>6682.9714</v>
      </c>
    </row>
    <row r="118" spans="1:19" s="745" customFormat="1" ht="15" customHeight="1">
      <c r="A118" s="784"/>
      <c r="B118" s="784"/>
      <c r="C118" s="848"/>
      <c r="D118" s="580">
        <v>1</v>
      </c>
      <c r="E118" s="580">
        <v>1</v>
      </c>
      <c r="F118" s="580"/>
      <c r="G118" s="580"/>
      <c r="H118" s="580">
        <v>1</v>
      </c>
      <c r="I118" s="580" t="s">
        <v>212</v>
      </c>
      <c r="J118" s="562" t="s">
        <v>450</v>
      </c>
      <c r="K118" s="580">
        <v>2001</v>
      </c>
      <c r="L118" s="580" t="s">
        <v>276</v>
      </c>
      <c r="M118" s="646">
        <v>469.5</v>
      </c>
      <c r="N118" s="730">
        <v>20.384</v>
      </c>
      <c r="O118" s="586">
        <f>M118*N118</f>
        <v>9570.288</v>
      </c>
      <c r="P118" s="646">
        <v>300.36</v>
      </c>
      <c r="Q118" s="730">
        <v>23.73</v>
      </c>
      <c r="R118" s="586">
        <f t="shared" si="11"/>
        <v>7127.5428</v>
      </c>
      <c r="S118" s="586">
        <f t="shared" si="12"/>
        <v>16697.8308</v>
      </c>
    </row>
    <row r="119" spans="1:19" ht="15" customHeight="1">
      <c r="A119" s="1145" t="s">
        <v>290</v>
      </c>
      <c r="B119" s="1146"/>
      <c r="C119" s="578"/>
      <c r="D119" s="578"/>
      <c r="E119" s="734"/>
      <c r="F119" s="578"/>
      <c r="G119" s="578"/>
      <c r="H119" s="578"/>
      <c r="I119" s="578"/>
      <c r="J119" s="578"/>
      <c r="K119" s="578"/>
      <c r="L119" s="580" t="s">
        <v>276</v>
      </c>
      <c r="M119" s="646">
        <v>22.4</v>
      </c>
      <c r="N119" s="730">
        <v>20.384</v>
      </c>
      <c r="O119" s="586">
        <f aca="true" t="shared" si="13" ref="O119:O128">M119*N119</f>
        <v>456.60159999999996</v>
      </c>
      <c r="P119" s="646">
        <v>28.25</v>
      </c>
      <c r="Q119" s="730">
        <v>23.73</v>
      </c>
      <c r="R119" s="586">
        <f t="shared" si="11"/>
        <v>670.3725000000001</v>
      </c>
      <c r="S119" s="586">
        <f t="shared" si="12"/>
        <v>1126.9741</v>
      </c>
    </row>
    <row r="120" spans="1:19" ht="15" customHeight="1">
      <c r="A120" s="1145" t="s">
        <v>173</v>
      </c>
      <c r="B120" s="1146"/>
      <c r="C120" s="578"/>
      <c r="D120" s="578"/>
      <c r="E120" s="734"/>
      <c r="F120" s="578"/>
      <c r="G120" s="578"/>
      <c r="H120" s="578"/>
      <c r="I120" s="578"/>
      <c r="J120" s="578"/>
      <c r="K120" s="578"/>
      <c r="L120" s="580" t="s">
        <v>276</v>
      </c>
      <c r="M120" s="646">
        <v>56</v>
      </c>
      <c r="N120" s="730">
        <v>20.384</v>
      </c>
      <c r="O120" s="586">
        <f t="shared" si="13"/>
        <v>1141.504</v>
      </c>
      <c r="P120" s="646">
        <v>39</v>
      </c>
      <c r="Q120" s="730">
        <v>23.73</v>
      </c>
      <c r="R120" s="586">
        <f t="shared" si="11"/>
        <v>925.47</v>
      </c>
      <c r="S120" s="586">
        <f t="shared" si="12"/>
        <v>2066.974</v>
      </c>
    </row>
    <row r="121" spans="1:19" ht="15" customHeight="1">
      <c r="A121" s="1145" t="s">
        <v>371</v>
      </c>
      <c r="B121" s="1146"/>
      <c r="C121" s="578"/>
      <c r="D121" s="578"/>
      <c r="E121" s="734"/>
      <c r="F121" s="578"/>
      <c r="G121" s="578"/>
      <c r="H121" s="578"/>
      <c r="I121" s="578"/>
      <c r="J121" s="578"/>
      <c r="K121" s="578"/>
      <c r="L121" s="580" t="s">
        <v>275</v>
      </c>
      <c r="M121" s="646">
        <v>0</v>
      </c>
      <c r="N121" s="730">
        <v>20.384</v>
      </c>
      <c r="O121" s="586">
        <v>0</v>
      </c>
      <c r="P121" s="646">
        <v>39</v>
      </c>
      <c r="Q121" s="730">
        <v>23.73</v>
      </c>
      <c r="R121" s="586">
        <f t="shared" si="11"/>
        <v>925.47</v>
      </c>
      <c r="S121" s="586">
        <f t="shared" si="12"/>
        <v>925.47</v>
      </c>
    </row>
    <row r="122" spans="1:19" ht="15" customHeight="1">
      <c r="A122" s="1145" t="s">
        <v>372</v>
      </c>
      <c r="B122" s="1146"/>
      <c r="C122" s="578"/>
      <c r="D122" s="578"/>
      <c r="E122" s="734"/>
      <c r="F122" s="578"/>
      <c r="G122" s="578"/>
      <c r="H122" s="578"/>
      <c r="I122" s="578"/>
      <c r="J122" s="578"/>
      <c r="K122" s="578"/>
      <c r="L122" s="580" t="s">
        <v>275</v>
      </c>
      <c r="M122" s="646">
        <v>0</v>
      </c>
      <c r="N122" s="730">
        <v>20.384</v>
      </c>
      <c r="O122" s="586">
        <v>0</v>
      </c>
      <c r="P122" s="646">
        <v>69.5</v>
      </c>
      <c r="Q122" s="730">
        <v>23.73</v>
      </c>
      <c r="R122" s="586">
        <f t="shared" si="11"/>
        <v>1649.2350000000001</v>
      </c>
      <c r="S122" s="586">
        <f t="shared" si="12"/>
        <v>1649.2350000000001</v>
      </c>
    </row>
    <row r="123" spans="1:19" ht="15" customHeight="1">
      <c r="A123" s="1145" t="s">
        <v>174</v>
      </c>
      <c r="B123" s="1146"/>
      <c r="C123" s="578"/>
      <c r="D123" s="578"/>
      <c r="E123" s="734"/>
      <c r="F123" s="578"/>
      <c r="G123" s="578"/>
      <c r="H123" s="578"/>
      <c r="I123" s="578"/>
      <c r="J123" s="578"/>
      <c r="K123" s="578"/>
      <c r="L123" s="580" t="s">
        <v>276</v>
      </c>
      <c r="M123" s="646">
        <v>237.5</v>
      </c>
      <c r="N123" s="730">
        <v>20.384</v>
      </c>
      <c r="O123" s="586">
        <f t="shared" si="13"/>
        <v>4841.2</v>
      </c>
      <c r="P123" s="646">
        <f>56.75+54</f>
        <v>110.75</v>
      </c>
      <c r="Q123" s="730">
        <v>23.73</v>
      </c>
      <c r="R123" s="586">
        <f t="shared" si="11"/>
        <v>2628.0975</v>
      </c>
      <c r="S123" s="586">
        <f t="shared" si="12"/>
        <v>7469.2975</v>
      </c>
    </row>
    <row r="124" spans="1:19" ht="15" customHeight="1">
      <c r="A124" s="1145" t="s">
        <v>6</v>
      </c>
      <c r="B124" s="1146"/>
      <c r="C124" s="578"/>
      <c r="D124" s="578"/>
      <c r="E124" s="734"/>
      <c r="F124" s="578"/>
      <c r="G124" s="578"/>
      <c r="H124" s="578"/>
      <c r="I124" s="578"/>
      <c r="J124" s="578"/>
      <c r="K124" s="578"/>
      <c r="L124" s="580" t="s">
        <v>276</v>
      </c>
      <c r="M124" s="646">
        <v>89.5</v>
      </c>
      <c r="N124" s="730">
        <v>20.384</v>
      </c>
      <c r="O124" s="586">
        <f t="shared" si="13"/>
        <v>1824.368</v>
      </c>
      <c r="P124" s="646">
        <v>42.17</v>
      </c>
      <c r="Q124" s="730">
        <v>23.73</v>
      </c>
      <c r="R124" s="586">
        <f t="shared" si="11"/>
        <v>1000.6941</v>
      </c>
      <c r="S124" s="586">
        <f t="shared" si="12"/>
        <v>2825.0621</v>
      </c>
    </row>
    <row r="125" spans="1:19" s="731" customFormat="1" ht="15" customHeight="1">
      <c r="A125" s="1145" t="s">
        <v>5</v>
      </c>
      <c r="B125" s="1146"/>
      <c r="C125" s="578"/>
      <c r="D125" s="578"/>
      <c r="E125" s="734"/>
      <c r="F125" s="578"/>
      <c r="G125" s="578"/>
      <c r="H125" s="578"/>
      <c r="I125" s="578"/>
      <c r="J125" s="578"/>
      <c r="K125" s="578"/>
      <c r="L125" s="580" t="s">
        <v>288</v>
      </c>
      <c r="M125" s="646">
        <v>124</v>
      </c>
      <c r="N125" s="730">
        <v>20.384</v>
      </c>
      <c r="O125" s="586">
        <f t="shared" si="13"/>
        <v>2527.616</v>
      </c>
      <c r="P125" s="646">
        <v>0</v>
      </c>
      <c r="Q125" s="730">
        <v>23.73</v>
      </c>
      <c r="R125" s="586">
        <f t="shared" si="11"/>
        <v>0</v>
      </c>
      <c r="S125" s="586">
        <f t="shared" si="12"/>
        <v>2527.616</v>
      </c>
    </row>
    <row r="126" spans="1:19" s="731" customFormat="1" ht="15" customHeight="1">
      <c r="A126" s="1145" t="s">
        <v>373</v>
      </c>
      <c r="B126" s="1146"/>
      <c r="C126" s="578"/>
      <c r="D126" s="578"/>
      <c r="E126" s="734"/>
      <c r="F126" s="578"/>
      <c r="G126" s="578"/>
      <c r="H126" s="578"/>
      <c r="I126" s="578"/>
      <c r="J126" s="578"/>
      <c r="K126" s="578"/>
      <c r="L126" s="580" t="s">
        <v>275</v>
      </c>
      <c r="M126" s="646">
        <v>0</v>
      </c>
      <c r="N126" s="730">
        <v>20.384</v>
      </c>
      <c r="O126" s="586">
        <v>0</v>
      </c>
      <c r="P126" s="646">
        <v>36.5</v>
      </c>
      <c r="Q126" s="730">
        <v>23.73</v>
      </c>
      <c r="R126" s="586">
        <f t="shared" si="11"/>
        <v>866.145</v>
      </c>
      <c r="S126" s="586">
        <f t="shared" si="12"/>
        <v>866.145</v>
      </c>
    </row>
    <row r="127" spans="1:19" s="731" customFormat="1" ht="15" customHeight="1">
      <c r="A127" s="1145" t="s">
        <v>7</v>
      </c>
      <c r="B127" s="1146"/>
      <c r="C127" s="578"/>
      <c r="D127" s="578"/>
      <c r="E127" s="734"/>
      <c r="F127" s="578"/>
      <c r="G127" s="578"/>
      <c r="H127" s="578"/>
      <c r="I127" s="578"/>
      <c r="J127" s="578"/>
      <c r="K127" s="578"/>
      <c r="L127" s="580" t="s">
        <v>288</v>
      </c>
      <c r="M127" s="646">
        <f>10.29+11.89+14.3581+10.0721+13.7152+6.6433</f>
        <v>66.9687</v>
      </c>
      <c r="N127" s="730">
        <v>20.384</v>
      </c>
      <c r="O127" s="586">
        <f t="shared" si="13"/>
        <v>1365.0899808</v>
      </c>
      <c r="P127" s="646">
        <v>0</v>
      </c>
      <c r="Q127" s="730">
        <v>23.73</v>
      </c>
      <c r="R127" s="586">
        <f t="shared" si="11"/>
        <v>0</v>
      </c>
      <c r="S127" s="586">
        <f t="shared" si="12"/>
        <v>1365.0899808</v>
      </c>
    </row>
    <row r="128" spans="1:20" s="731" customFormat="1" ht="15" customHeight="1">
      <c r="A128" s="1145" t="s">
        <v>224</v>
      </c>
      <c r="B128" s="1146"/>
      <c r="C128" s="578"/>
      <c r="D128" s="578"/>
      <c r="E128" s="734"/>
      <c r="F128" s="578"/>
      <c r="G128" s="578"/>
      <c r="H128" s="578"/>
      <c r="I128" s="578"/>
      <c r="J128" s="578"/>
      <c r="K128" s="578"/>
      <c r="L128" s="580" t="s">
        <v>276</v>
      </c>
      <c r="M128" s="646">
        <v>27.86</v>
      </c>
      <c r="N128" s="730">
        <v>20.384</v>
      </c>
      <c r="O128" s="586">
        <f t="shared" si="13"/>
        <v>567.89824</v>
      </c>
      <c r="P128" s="646">
        <v>84</v>
      </c>
      <c r="Q128" s="730">
        <v>23.73</v>
      </c>
      <c r="R128" s="586">
        <f t="shared" si="11"/>
        <v>1993.32</v>
      </c>
      <c r="S128" s="586">
        <f t="shared" si="12"/>
        <v>2561.21824</v>
      </c>
      <c r="T128" s="733"/>
    </row>
    <row r="129" spans="1:19" s="731" customFormat="1" ht="15" customHeight="1">
      <c r="A129" s="1147" t="s">
        <v>51</v>
      </c>
      <c r="B129" s="1148"/>
      <c r="C129" s="578"/>
      <c r="D129" s="578"/>
      <c r="E129" s="734"/>
      <c r="F129" s="578"/>
      <c r="G129" s="578"/>
      <c r="H129" s="578"/>
      <c r="I129" s="578"/>
      <c r="J129" s="578"/>
      <c r="K129" s="578"/>
      <c r="L129" s="719"/>
      <c r="M129" s="646"/>
      <c r="N129" s="730"/>
      <c r="O129" s="586"/>
      <c r="P129" s="646"/>
      <c r="Q129" s="730"/>
      <c r="R129" s="586"/>
      <c r="S129" s="586">
        <f>269743.28-242786.14+1954.4</f>
        <v>28911.540000000015</v>
      </c>
    </row>
    <row r="130" spans="1:21" s="731" customFormat="1" ht="15" customHeight="1">
      <c r="A130" s="1147" t="s">
        <v>80</v>
      </c>
      <c r="B130" s="1148"/>
      <c r="C130" s="578"/>
      <c r="D130" s="578"/>
      <c r="E130" s="734"/>
      <c r="F130" s="578"/>
      <c r="G130" s="578"/>
      <c r="H130" s="578"/>
      <c r="I130" s="578"/>
      <c r="J130" s="578"/>
      <c r="K130" s="578"/>
      <c r="L130" s="719"/>
      <c r="M130" s="646"/>
      <c r="N130" s="730"/>
      <c r="O130" s="586"/>
      <c r="P130" s="646"/>
      <c r="Q130" s="730"/>
      <c r="R130" s="586"/>
      <c r="S130" s="586">
        <v>4347.91</v>
      </c>
      <c r="U130" s="733"/>
    </row>
    <row r="131" spans="1:19" s="731" customFormat="1" ht="15" customHeight="1">
      <c r="A131" s="1147" t="s">
        <v>80</v>
      </c>
      <c r="B131" s="1148"/>
      <c r="C131" s="578"/>
      <c r="D131" s="578"/>
      <c r="E131" s="734"/>
      <c r="F131" s="578"/>
      <c r="G131" s="578"/>
      <c r="H131" s="578"/>
      <c r="I131" s="578"/>
      <c r="J131" s="578"/>
      <c r="K131" s="578"/>
      <c r="L131" s="719"/>
      <c r="M131" s="646"/>
      <c r="N131" s="730"/>
      <c r="O131" s="586"/>
      <c r="P131" s="646"/>
      <c r="Q131" s="730"/>
      <c r="R131" s="586"/>
      <c r="S131" s="586">
        <v>30.58</v>
      </c>
    </row>
    <row r="132" spans="1:21" s="731" customFormat="1" ht="15" customHeight="1">
      <c r="A132" s="1147" t="s">
        <v>516</v>
      </c>
      <c r="B132" s="1148"/>
      <c r="C132" s="578"/>
      <c r="D132" s="578"/>
      <c r="E132" s="734"/>
      <c r="F132" s="578"/>
      <c r="G132" s="578"/>
      <c r="H132" s="578"/>
      <c r="I132" s="578"/>
      <c r="J132" s="578"/>
      <c r="K132" s="578"/>
      <c r="L132" s="719"/>
      <c r="M132" s="646"/>
      <c r="N132" s="730"/>
      <c r="O132" s="586"/>
      <c r="P132" s="646"/>
      <c r="Q132" s="730"/>
      <c r="R132" s="586"/>
      <c r="S132" s="586">
        <f>-1681.68</f>
        <v>-1681.68</v>
      </c>
      <c r="U132" s="733"/>
    </row>
    <row r="133" spans="1:19" s="731" customFormat="1" ht="15" customHeight="1">
      <c r="A133" s="1147" t="s">
        <v>270</v>
      </c>
      <c r="B133" s="1148"/>
      <c r="C133" s="578"/>
      <c r="D133" s="578"/>
      <c r="E133" s="734"/>
      <c r="F133" s="578"/>
      <c r="G133" s="578"/>
      <c r="H133" s="578"/>
      <c r="I133" s="578"/>
      <c r="J133" s="578"/>
      <c r="K133" s="578"/>
      <c r="L133" s="719"/>
      <c r="M133" s="646"/>
      <c r="N133" s="730"/>
      <c r="O133" s="586"/>
      <c r="P133" s="646"/>
      <c r="Q133" s="730"/>
      <c r="R133" s="586"/>
      <c r="S133" s="586">
        <f>-(2444.35+2733.96+1520.38+1900.46)</f>
        <v>-8599.15</v>
      </c>
    </row>
    <row r="134" spans="1:19" s="699" customFormat="1" ht="15" customHeight="1">
      <c r="A134" s="1138" t="s">
        <v>8</v>
      </c>
      <c r="B134" s="1138"/>
      <c r="C134" s="547"/>
      <c r="D134" s="547">
        <f>SUM(D41:D118)</f>
        <v>78</v>
      </c>
      <c r="E134" s="547">
        <f>SUM(E41:E118)</f>
        <v>58</v>
      </c>
      <c r="F134" s="547">
        <f>SUM(F41:F118)</f>
        <v>20</v>
      </c>
      <c r="G134" s="547">
        <f>SUM(G41:G128)</f>
        <v>60</v>
      </c>
      <c r="H134" s="547">
        <f>SUM(H41:H128)</f>
        <v>18</v>
      </c>
      <c r="I134" s="547"/>
      <c r="J134" s="547"/>
      <c r="K134" s="547"/>
      <c r="L134" s="697"/>
      <c r="M134" s="655">
        <f>SUM(M41:M133)</f>
        <v>13838.528699999999</v>
      </c>
      <c r="N134" s="735"/>
      <c r="O134" s="550">
        <f>SUM(O41:O133)</f>
        <v>284375.7250208</v>
      </c>
      <c r="P134" s="655">
        <f>SUM(P41:P128)</f>
        <v>10364.32999999999</v>
      </c>
      <c r="Q134" s="735"/>
      <c r="R134" s="550">
        <f>SUM(R41:R128)</f>
        <v>246658.85589999997</v>
      </c>
      <c r="S134" s="550">
        <f>SUM(S41:S133)</f>
        <v>554043.7809207999</v>
      </c>
    </row>
    <row r="135" spans="1:19" s="559" customFormat="1" ht="15" customHeight="1">
      <c r="A135" s="1140" t="s">
        <v>67</v>
      </c>
      <c r="B135" s="1140"/>
      <c r="C135" s="638"/>
      <c r="D135" s="638"/>
      <c r="E135" s="695"/>
      <c r="F135" s="638"/>
      <c r="G135" s="638"/>
      <c r="H135" s="638"/>
      <c r="I135" s="638"/>
      <c r="J135" s="638"/>
      <c r="K135" s="638"/>
      <c r="L135" s="710"/>
      <c r="M135" s="661"/>
      <c r="N135" s="738"/>
      <c r="O135" s="728"/>
      <c r="P135" s="728"/>
      <c r="Q135" s="738"/>
      <c r="R135" s="728"/>
      <c r="S135" s="643"/>
    </row>
    <row r="136" spans="1:19" s="559" customFormat="1" ht="57" customHeight="1">
      <c r="A136" s="511" t="s">
        <v>332</v>
      </c>
      <c r="B136" s="511" t="s">
        <v>333</v>
      </c>
      <c r="C136" s="511" t="s">
        <v>213</v>
      </c>
      <c r="D136" s="512" t="s">
        <v>36</v>
      </c>
      <c r="E136" s="512" t="s">
        <v>73</v>
      </c>
      <c r="F136" s="512" t="s">
        <v>74</v>
      </c>
      <c r="G136" s="512" t="s">
        <v>37</v>
      </c>
      <c r="H136" s="512" t="s">
        <v>38</v>
      </c>
      <c r="I136" s="512" t="s">
        <v>15</v>
      </c>
      <c r="J136" s="512" t="s">
        <v>214</v>
      </c>
      <c r="K136" s="512" t="s">
        <v>39</v>
      </c>
      <c r="L136" s="512" t="s">
        <v>84</v>
      </c>
      <c r="M136" s="634" t="s">
        <v>287</v>
      </c>
      <c r="N136" s="729" t="s">
        <v>40</v>
      </c>
      <c r="O136" s="634" t="s">
        <v>57</v>
      </c>
      <c r="P136" s="634" t="s">
        <v>514</v>
      </c>
      <c r="Q136" s="729" t="s">
        <v>40</v>
      </c>
      <c r="R136" s="634" t="s">
        <v>57</v>
      </c>
      <c r="S136" s="511" t="s">
        <v>58</v>
      </c>
    </row>
    <row r="137" spans="1:19" s="731" customFormat="1" ht="15" customHeight="1">
      <c r="A137" s="784"/>
      <c r="B137" s="784"/>
      <c r="C137" s="848"/>
      <c r="D137" s="580">
        <v>1</v>
      </c>
      <c r="E137" s="580">
        <v>1</v>
      </c>
      <c r="F137" s="580"/>
      <c r="G137" s="580">
        <v>1</v>
      </c>
      <c r="H137" s="580"/>
      <c r="I137" s="580" t="s">
        <v>212</v>
      </c>
      <c r="J137" s="580" t="s">
        <v>212</v>
      </c>
      <c r="K137" s="580">
        <v>2000</v>
      </c>
      <c r="L137" s="580" t="s">
        <v>276</v>
      </c>
      <c r="M137" s="646">
        <v>115</v>
      </c>
      <c r="N137" s="730">
        <v>20.384</v>
      </c>
      <c r="O137" s="586">
        <f aca="true" t="shared" si="14" ref="O137:O149">M137*N137</f>
        <v>2344.16</v>
      </c>
      <c r="P137" s="719">
        <v>88.98</v>
      </c>
      <c r="Q137" s="730">
        <v>23.73</v>
      </c>
      <c r="R137" s="586">
        <f>P137*Q137</f>
        <v>2111.4954000000002</v>
      </c>
      <c r="S137" s="586">
        <f aca="true" t="shared" si="15" ref="S137:S149">O137+R137</f>
        <v>4455.6554</v>
      </c>
    </row>
    <row r="138" spans="1:19" s="731" customFormat="1" ht="15" customHeight="1">
      <c r="A138" s="784"/>
      <c r="B138" s="784"/>
      <c r="C138" s="848"/>
      <c r="D138" s="580">
        <v>1</v>
      </c>
      <c r="E138" s="580">
        <v>1</v>
      </c>
      <c r="F138" s="580"/>
      <c r="G138" s="580">
        <v>1</v>
      </c>
      <c r="H138" s="580"/>
      <c r="I138" s="580" t="s">
        <v>212</v>
      </c>
      <c r="J138" s="580" t="s">
        <v>212</v>
      </c>
      <c r="K138" s="580">
        <v>2004</v>
      </c>
      <c r="L138" s="580" t="s">
        <v>276</v>
      </c>
      <c r="M138" s="646">
        <v>344</v>
      </c>
      <c r="N138" s="730">
        <v>20.384</v>
      </c>
      <c r="O138" s="586">
        <f t="shared" si="14"/>
        <v>7012.0960000000005</v>
      </c>
      <c r="P138" s="719">
        <v>191.98</v>
      </c>
      <c r="Q138" s="730">
        <v>23.73</v>
      </c>
      <c r="R138" s="586">
        <f aca="true" t="shared" si="16" ref="R138:R149">P138*Q138</f>
        <v>4555.685399999999</v>
      </c>
      <c r="S138" s="586">
        <f t="shared" si="15"/>
        <v>11567.7814</v>
      </c>
    </row>
    <row r="139" spans="1:19" s="731" customFormat="1" ht="15" customHeight="1">
      <c r="A139" s="784"/>
      <c r="B139" s="850"/>
      <c r="C139" s="848"/>
      <c r="D139" s="580">
        <v>1</v>
      </c>
      <c r="E139" s="580">
        <v>1</v>
      </c>
      <c r="F139" s="580"/>
      <c r="G139" s="580"/>
      <c r="H139" s="580">
        <v>1</v>
      </c>
      <c r="I139" s="580" t="s">
        <v>212</v>
      </c>
      <c r="J139" s="562" t="s">
        <v>343</v>
      </c>
      <c r="K139" s="580">
        <v>2006</v>
      </c>
      <c r="L139" s="580" t="s">
        <v>275</v>
      </c>
      <c r="M139" s="646">
        <v>0</v>
      </c>
      <c r="N139" s="730">
        <v>20.384</v>
      </c>
      <c r="O139" s="586">
        <f t="shared" si="14"/>
        <v>0</v>
      </c>
      <c r="P139" s="719">
        <v>85.98</v>
      </c>
      <c r="Q139" s="730">
        <v>23.73</v>
      </c>
      <c r="R139" s="586">
        <f t="shared" si="16"/>
        <v>2040.3054000000002</v>
      </c>
      <c r="S139" s="586">
        <f t="shared" si="15"/>
        <v>2040.3054000000002</v>
      </c>
    </row>
    <row r="140" spans="1:19" s="731" customFormat="1" ht="15" customHeight="1">
      <c r="A140" s="784"/>
      <c r="B140" s="784"/>
      <c r="C140" s="848"/>
      <c r="D140" s="580">
        <v>1</v>
      </c>
      <c r="E140" s="580">
        <v>1</v>
      </c>
      <c r="F140" s="580"/>
      <c r="G140" s="580">
        <v>1</v>
      </c>
      <c r="H140" s="580"/>
      <c r="I140" s="580" t="s">
        <v>212</v>
      </c>
      <c r="J140" s="580" t="s">
        <v>212</v>
      </c>
      <c r="K140" s="580">
        <v>2000</v>
      </c>
      <c r="L140" s="580" t="s">
        <v>366</v>
      </c>
      <c r="M140" s="646">
        <v>117</v>
      </c>
      <c r="N140" s="730">
        <v>20.384</v>
      </c>
      <c r="O140" s="586">
        <f t="shared" si="14"/>
        <v>2384.928</v>
      </c>
      <c r="P140" s="719">
        <v>0</v>
      </c>
      <c r="Q140" s="730">
        <v>23.73</v>
      </c>
      <c r="R140" s="586">
        <f t="shared" si="16"/>
        <v>0</v>
      </c>
      <c r="S140" s="586">
        <f t="shared" si="15"/>
        <v>2384.928</v>
      </c>
    </row>
    <row r="141" spans="1:21" s="731" customFormat="1" ht="15" customHeight="1">
      <c r="A141" s="784"/>
      <c r="B141" s="784"/>
      <c r="C141" s="848"/>
      <c r="D141" s="580">
        <v>1</v>
      </c>
      <c r="E141" s="580">
        <v>1</v>
      </c>
      <c r="F141" s="580"/>
      <c r="G141" s="580">
        <v>1</v>
      </c>
      <c r="H141" s="580"/>
      <c r="I141" s="580" t="s">
        <v>212</v>
      </c>
      <c r="J141" s="562" t="s">
        <v>212</v>
      </c>
      <c r="K141" s="580">
        <v>1999</v>
      </c>
      <c r="L141" s="580" t="s">
        <v>276</v>
      </c>
      <c r="M141" s="646">
        <v>113.5</v>
      </c>
      <c r="N141" s="730">
        <v>20.384</v>
      </c>
      <c r="O141" s="586">
        <f t="shared" si="14"/>
        <v>2313.584</v>
      </c>
      <c r="P141" s="719">
        <v>87.48</v>
      </c>
      <c r="Q141" s="730">
        <v>23.73</v>
      </c>
      <c r="R141" s="586">
        <f t="shared" si="16"/>
        <v>2075.9004</v>
      </c>
      <c r="S141" s="586">
        <f t="shared" si="15"/>
        <v>4389.484399999999</v>
      </c>
      <c r="U141" s="733"/>
    </row>
    <row r="142" spans="1:21" s="731" customFormat="1" ht="15" customHeight="1">
      <c r="A142" s="784"/>
      <c r="B142" s="784"/>
      <c r="C142" s="848"/>
      <c r="D142" s="580">
        <v>1</v>
      </c>
      <c r="E142" s="580">
        <v>1</v>
      </c>
      <c r="F142" s="580"/>
      <c r="G142" s="580"/>
      <c r="H142" s="580">
        <v>1</v>
      </c>
      <c r="I142" s="580" t="s">
        <v>212</v>
      </c>
      <c r="J142" s="562" t="s">
        <v>18</v>
      </c>
      <c r="K142" s="580">
        <v>2007</v>
      </c>
      <c r="L142" s="580" t="s">
        <v>288</v>
      </c>
      <c r="M142" s="646">
        <v>153</v>
      </c>
      <c r="N142" s="730">
        <v>20.384</v>
      </c>
      <c r="O142" s="586">
        <f t="shared" si="14"/>
        <v>3118.752</v>
      </c>
      <c r="P142" s="719">
        <v>83.98</v>
      </c>
      <c r="Q142" s="730">
        <v>23.73</v>
      </c>
      <c r="R142" s="586">
        <f t="shared" si="16"/>
        <v>1992.8454000000002</v>
      </c>
      <c r="S142" s="586">
        <f t="shared" si="15"/>
        <v>5111.597400000001</v>
      </c>
      <c r="U142" s="733"/>
    </row>
    <row r="143" spans="1:19" s="731" customFormat="1" ht="15" customHeight="1">
      <c r="A143" s="784"/>
      <c r="B143" s="850"/>
      <c r="C143" s="848"/>
      <c r="D143" s="580">
        <v>1</v>
      </c>
      <c r="E143" s="580">
        <v>1</v>
      </c>
      <c r="F143" s="580"/>
      <c r="G143" s="580"/>
      <c r="H143" s="580">
        <v>1</v>
      </c>
      <c r="I143" s="580" t="s">
        <v>212</v>
      </c>
      <c r="J143" s="562" t="s">
        <v>18</v>
      </c>
      <c r="K143" s="580">
        <v>1994</v>
      </c>
      <c r="L143" s="580" t="s">
        <v>275</v>
      </c>
      <c r="M143" s="646">
        <v>0</v>
      </c>
      <c r="N143" s="730">
        <v>20.384</v>
      </c>
      <c r="O143" s="586">
        <f t="shared" si="14"/>
        <v>0</v>
      </c>
      <c r="P143" s="719">
        <v>92.98</v>
      </c>
      <c r="Q143" s="730">
        <v>23.73</v>
      </c>
      <c r="R143" s="586">
        <f t="shared" si="16"/>
        <v>2206.4154000000003</v>
      </c>
      <c r="S143" s="586">
        <f t="shared" si="15"/>
        <v>2206.4154000000003</v>
      </c>
    </row>
    <row r="144" spans="1:19" s="731" customFormat="1" ht="15" customHeight="1">
      <c r="A144" s="784"/>
      <c r="B144" s="784"/>
      <c r="C144" s="848"/>
      <c r="D144" s="580">
        <v>1</v>
      </c>
      <c r="E144" s="580">
        <v>1</v>
      </c>
      <c r="F144" s="580"/>
      <c r="G144" s="580">
        <v>1</v>
      </c>
      <c r="H144" s="580"/>
      <c r="I144" s="580" t="s">
        <v>212</v>
      </c>
      <c r="J144" s="580" t="s">
        <v>212</v>
      </c>
      <c r="K144" s="580">
        <v>2002</v>
      </c>
      <c r="L144" s="580" t="s">
        <v>366</v>
      </c>
      <c r="M144" s="646">
        <v>128.5</v>
      </c>
      <c r="N144" s="730">
        <v>20.384</v>
      </c>
      <c r="O144" s="586">
        <f t="shared" si="14"/>
        <v>2619.344</v>
      </c>
      <c r="P144" s="719">
        <v>78.98</v>
      </c>
      <c r="Q144" s="730">
        <v>23.73</v>
      </c>
      <c r="R144" s="586">
        <f t="shared" si="16"/>
        <v>1874.1954</v>
      </c>
      <c r="S144" s="586">
        <f t="shared" si="15"/>
        <v>4493.5394</v>
      </c>
    </row>
    <row r="145" spans="1:19" s="731" customFormat="1" ht="15" customHeight="1">
      <c r="A145" s="784"/>
      <c r="B145" s="784"/>
      <c r="C145" s="848"/>
      <c r="D145" s="580">
        <v>1</v>
      </c>
      <c r="E145" s="580"/>
      <c r="F145" s="580">
        <v>1</v>
      </c>
      <c r="G145" s="580">
        <v>1</v>
      </c>
      <c r="H145" s="580"/>
      <c r="I145" s="580" t="s">
        <v>212</v>
      </c>
      <c r="J145" s="580" t="s">
        <v>212</v>
      </c>
      <c r="K145" s="580">
        <v>2003</v>
      </c>
      <c r="L145" s="580" t="s">
        <v>288</v>
      </c>
      <c r="M145" s="646">
        <v>134</v>
      </c>
      <c r="N145" s="730">
        <v>20.384</v>
      </c>
      <c r="O145" s="586">
        <f t="shared" si="14"/>
        <v>2731.456</v>
      </c>
      <c r="P145" s="719">
        <v>85.98</v>
      </c>
      <c r="Q145" s="730">
        <v>23.73</v>
      </c>
      <c r="R145" s="586">
        <f t="shared" si="16"/>
        <v>2040.3054000000002</v>
      </c>
      <c r="S145" s="586">
        <f t="shared" si="15"/>
        <v>4771.7614</v>
      </c>
    </row>
    <row r="146" spans="1:19" s="731" customFormat="1" ht="15" customHeight="1">
      <c r="A146" s="784"/>
      <c r="B146" s="784"/>
      <c r="C146" s="848"/>
      <c r="D146" s="580">
        <v>1</v>
      </c>
      <c r="E146" s="580">
        <v>1</v>
      </c>
      <c r="F146" s="580"/>
      <c r="G146" s="580">
        <v>1</v>
      </c>
      <c r="H146" s="580"/>
      <c r="I146" s="580" t="s">
        <v>212</v>
      </c>
      <c r="J146" s="580" t="s">
        <v>212</v>
      </c>
      <c r="K146" s="580">
        <v>1997</v>
      </c>
      <c r="L146" s="580" t="s">
        <v>288</v>
      </c>
      <c r="M146" s="646">
        <v>164.5</v>
      </c>
      <c r="N146" s="730">
        <v>20.384</v>
      </c>
      <c r="O146" s="586">
        <f t="shared" si="14"/>
        <v>3353.168</v>
      </c>
      <c r="P146" s="719">
        <v>84.98</v>
      </c>
      <c r="Q146" s="730">
        <v>23.73</v>
      </c>
      <c r="R146" s="586">
        <f t="shared" si="16"/>
        <v>2016.5754000000002</v>
      </c>
      <c r="S146" s="586">
        <f t="shared" si="15"/>
        <v>5369.7434</v>
      </c>
    </row>
    <row r="147" spans="1:19" s="731" customFormat="1" ht="15" customHeight="1">
      <c r="A147" s="784"/>
      <c r="B147" s="850"/>
      <c r="C147" s="848"/>
      <c r="D147" s="580">
        <v>1</v>
      </c>
      <c r="E147" s="580"/>
      <c r="F147" s="580">
        <v>1</v>
      </c>
      <c r="G147" s="580">
        <v>1</v>
      </c>
      <c r="H147" s="580"/>
      <c r="I147" s="580" t="s">
        <v>212</v>
      </c>
      <c r="J147" s="580" t="s">
        <v>212</v>
      </c>
      <c r="K147" s="580">
        <v>1997</v>
      </c>
      <c r="L147" s="580" t="s">
        <v>275</v>
      </c>
      <c r="M147" s="646">
        <v>0</v>
      </c>
      <c r="N147" s="730">
        <v>20.384</v>
      </c>
      <c r="O147" s="586">
        <f t="shared" si="14"/>
        <v>0</v>
      </c>
      <c r="P147" s="719">
        <v>89.48</v>
      </c>
      <c r="Q147" s="730">
        <v>23.73</v>
      </c>
      <c r="R147" s="586">
        <f t="shared" si="16"/>
        <v>2123.3604</v>
      </c>
      <c r="S147" s="586">
        <f t="shared" si="15"/>
        <v>2123.3604</v>
      </c>
    </row>
    <row r="148" spans="1:19" s="731" customFormat="1" ht="15" customHeight="1">
      <c r="A148" s="784"/>
      <c r="B148" s="784"/>
      <c r="C148" s="848"/>
      <c r="D148" s="580">
        <v>1</v>
      </c>
      <c r="E148" s="580"/>
      <c r="F148" s="580">
        <v>1</v>
      </c>
      <c r="G148" s="580">
        <v>1</v>
      </c>
      <c r="H148" s="580"/>
      <c r="I148" s="580" t="s">
        <v>212</v>
      </c>
      <c r="J148" s="562" t="s">
        <v>212</v>
      </c>
      <c r="K148" s="580">
        <v>2007</v>
      </c>
      <c r="L148" s="580" t="s">
        <v>288</v>
      </c>
      <c r="M148" s="646">
        <v>153</v>
      </c>
      <c r="N148" s="730">
        <v>20.384</v>
      </c>
      <c r="O148" s="586">
        <f t="shared" si="14"/>
        <v>3118.752</v>
      </c>
      <c r="P148" s="719">
        <v>84.98</v>
      </c>
      <c r="Q148" s="730">
        <v>23.73</v>
      </c>
      <c r="R148" s="586">
        <f t="shared" si="16"/>
        <v>2016.5754000000002</v>
      </c>
      <c r="S148" s="586">
        <f t="shared" si="15"/>
        <v>5135.3274</v>
      </c>
    </row>
    <row r="149" spans="1:19" s="731" customFormat="1" ht="15" customHeight="1">
      <c r="A149" s="1145" t="s">
        <v>9</v>
      </c>
      <c r="B149" s="1146"/>
      <c r="C149" s="578"/>
      <c r="D149" s="578"/>
      <c r="E149" s="734"/>
      <c r="F149" s="578"/>
      <c r="G149" s="578"/>
      <c r="H149" s="578"/>
      <c r="I149" s="578"/>
      <c r="J149" s="578"/>
      <c r="K149" s="578"/>
      <c r="L149" s="580" t="s">
        <v>288</v>
      </c>
      <c r="M149" s="646">
        <v>141</v>
      </c>
      <c r="N149" s="730">
        <v>20.384</v>
      </c>
      <c r="O149" s="586">
        <f t="shared" si="14"/>
        <v>2874.1440000000002</v>
      </c>
      <c r="P149" s="719">
        <v>38.5</v>
      </c>
      <c r="Q149" s="730">
        <v>23.73</v>
      </c>
      <c r="R149" s="586">
        <f t="shared" si="16"/>
        <v>913.605</v>
      </c>
      <c r="S149" s="586">
        <f t="shared" si="15"/>
        <v>3787.7490000000003</v>
      </c>
    </row>
    <row r="150" spans="1:19" s="731" customFormat="1" ht="15" customHeight="1">
      <c r="A150" s="1147" t="s">
        <v>51</v>
      </c>
      <c r="B150" s="1148"/>
      <c r="C150" s="578"/>
      <c r="D150" s="578"/>
      <c r="E150" s="734"/>
      <c r="F150" s="578"/>
      <c r="G150" s="578"/>
      <c r="H150" s="578"/>
      <c r="I150" s="578"/>
      <c r="J150" s="578"/>
      <c r="K150" s="578"/>
      <c r="L150" s="719"/>
      <c r="M150" s="646"/>
      <c r="N150" s="730"/>
      <c r="O150" s="586"/>
      <c r="P150" s="719"/>
      <c r="Q150" s="730"/>
      <c r="R150" s="586"/>
      <c r="S150" s="586">
        <f>61153.59-57837.65</f>
        <v>3315.939999999995</v>
      </c>
    </row>
    <row r="151" spans="1:19" s="699" customFormat="1" ht="15" customHeight="1">
      <c r="A151" s="1138" t="s">
        <v>95</v>
      </c>
      <c r="B151" s="1138"/>
      <c r="C151" s="547"/>
      <c r="D151" s="547">
        <f>SUM(D137:D150)</f>
        <v>12</v>
      </c>
      <c r="E151" s="547">
        <f>SUM(E137:E149)</f>
        <v>9</v>
      </c>
      <c r="F151" s="547">
        <f>SUM(F137:F149)</f>
        <v>3</v>
      </c>
      <c r="G151" s="547">
        <f>SUM(G137:G149)</f>
        <v>9</v>
      </c>
      <c r="H151" s="547">
        <f>SUM(H137:H149)</f>
        <v>3</v>
      </c>
      <c r="I151" s="547"/>
      <c r="J151" s="547"/>
      <c r="K151" s="547"/>
      <c r="L151" s="746"/>
      <c r="M151" s="655">
        <f>SUM(M137:M149)</f>
        <v>1563.5</v>
      </c>
      <c r="N151" s="735"/>
      <c r="O151" s="550">
        <f>SUM(O137:O149)</f>
        <v>31870.384000000002</v>
      </c>
      <c r="P151" s="655">
        <f>SUM(P137:P149)</f>
        <v>1094.28</v>
      </c>
      <c r="Q151" s="735"/>
      <c r="R151" s="550">
        <f>SUM(R137:R149)</f>
        <v>25967.264400000004</v>
      </c>
      <c r="S151" s="550">
        <f>SUM(S137:S150)</f>
        <v>61153.5884</v>
      </c>
    </row>
    <row r="152" spans="1:19" s="559" customFormat="1" ht="15" customHeight="1">
      <c r="A152" s="1140" t="s">
        <v>68</v>
      </c>
      <c r="B152" s="1140"/>
      <c r="C152" s="638"/>
      <c r="D152" s="638"/>
      <c r="E152" s="695"/>
      <c r="F152" s="638"/>
      <c r="G152" s="638"/>
      <c r="H152" s="638"/>
      <c r="I152" s="638"/>
      <c r="J152" s="638"/>
      <c r="K152" s="638"/>
      <c r="L152" s="710"/>
      <c r="M152" s="661"/>
      <c r="N152" s="738"/>
      <c r="O152" s="728"/>
      <c r="P152" s="728"/>
      <c r="Q152" s="738"/>
      <c r="R152" s="728"/>
      <c r="S152" s="643"/>
    </row>
    <row r="153" spans="1:19" s="559" customFormat="1" ht="57" customHeight="1">
      <c r="A153" s="511" t="s">
        <v>332</v>
      </c>
      <c r="B153" s="511" t="s">
        <v>333</v>
      </c>
      <c r="C153" s="511" t="s">
        <v>213</v>
      </c>
      <c r="D153" s="512" t="s">
        <v>36</v>
      </c>
      <c r="E153" s="512" t="s">
        <v>73</v>
      </c>
      <c r="F153" s="512" t="s">
        <v>74</v>
      </c>
      <c r="G153" s="512" t="s">
        <v>37</v>
      </c>
      <c r="H153" s="512" t="s">
        <v>38</v>
      </c>
      <c r="I153" s="512" t="s">
        <v>15</v>
      </c>
      <c r="J153" s="512" t="s">
        <v>214</v>
      </c>
      <c r="K153" s="512" t="s">
        <v>39</v>
      </c>
      <c r="L153" s="512" t="s">
        <v>84</v>
      </c>
      <c r="M153" s="634" t="s">
        <v>287</v>
      </c>
      <c r="N153" s="729" t="s">
        <v>40</v>
      </c>
      <c r="O153" s="634" t="s">
        <v>57</v>
      </c>
      <c r="P153" s="634" t="s">
        <v>514</v>
      </c>
      <c r="Q153" s="729" t="s">
        <v>40</v>
      </c>
      <c r="R153" s="634" t="s">
        <v>57</v>
      </c>
      <c r="S153" s="511" t="s">
        <v>58</v>
      </c>
    </row>
    <row r="154" spans="1:20" s="698" customFormat="1" ht="15" customHeight="1">
      <c r="A154" s="784"/>
      <c r="B154" s="784"/>
      <c r="C154" s="848"/>
      <c r="D154" s="581">
        <v>1</v>
      </c>
      <c r="E154" s="580">
        <v>1</v>
      </c>
      <c r="F154" s="580"/>
      <c r="G154" s="581"/>
      <c r="H154" s="580">
        <v>1</v>
      </c>
      <c r="I154" s="580" t="s">
        <v>212</v>
      </c>
      <c r="J154" s="562" t="s">
        <v>326</v>
      </c>
      <c r="K154" s="580">
        <v>2003</v>
      </c>
      <c r="L154" s="580" t="s">
        <v>288</v>
      </c>
      <c r="M154" s="740">
        <v>134.5</v>
      </c>
      <c r="N154" s="730">
        <v>20.384</v>
      </c>
      <c r="O154" s="586">
        <f aca="true" t="shared" si="17" ref="O154:O180">M154*N154</f>
        <v>2741.648</v>
      </c>
      <c r="P154" s="719">
        <v>89.48</v>
      </c>
      <c r="Q154" s="730">
        <v>23.73</v>
      </c>
      <c r="R154" s="586">
        <f aca="true" t="shared" si="18" ref="R154:R180">P154*Q154</f>
        <v>2123.3604</v>
      </c>
      <c r="S154" s="586">
        <f aca="true" t="shared" si="19" ref="S154:S180">O154+R154</f>
        <v>4865.008400000001</v>
      </c>
      <c r="T154" s="747"/>
    </row>
    <row r="155" spans="1:20" s="698" customFormat="1" ht="15" customHeight="1">
      <c r="A155" s="784"/>
      <c r="B155" s="784"/>
      <c r="C155" s="848"/>
      <c r="D155" s="581">
        <v>1</v>
      </c>
      <c r="E155" s="580">
        <v>1</v>
      </c>
      <c r="F155" s="581"/>
      <c r="G155" s="581"/>
      <c r="H155" s="580">
        <v>1</v>
      </c>
      <c r="I155" s="580" t="s">
        <v>212</v>
      </c>
      <c r="J155" s="562" t="s">
        <v>326</v>
      </c>
      <c r="K155" s="580">
        <v>2003</v>
      </c>
      <c r="L155" s="580" t="s">
        <v>288</v>
      </c>
      <c r="M155" s="740">
        <v>133.5</v>
      </c>
      <c r="N155" s="730">
        <v>20.384</v>
      </c>
      <c r="O155" s="586">
        <f t="shared" si="17"/>
        <v>2721.264</v>
      </c>
      <c r="P155" s="719">
        <v>89.48</v>
      </c>
      <c r="Q155" s="730">
        <v>23.73</v>
      </c>
      <c r="R155" s="586">
        <f t="shared" si="18"/>
        <v>2123.3604</v>
      </c>
      <c r="S155" s="586">
        <f t="shared" si="19"/>
        <v>4844.624400000001</v>
      </c>
      <c r="T155" s="747"/>
    </row>
    <row r="156" spans="1:20" s="698" customFormat="1" ht="15" customHeight="1">
      <c r="A156" s="784"/>
      <c r="B156" s="784"/>
      <c r="C156" s="848"/>
      <c r="D156" s="581">
        <v>1</v>
      </c>
      <c r="E156" s="580">
        <v>1</v>
      </c>
      <c r="F156" s="581"/>
      <c r="G156" s="580">
        <v>1</v>
      </c>
      <c r="H156" s="581"/>
      <c r="I156" s="580" t="s">
        <v>212</v>
      </c>
      <c r="J156" s="562" t="s">
        <v>212</v>
      </c>
      <c r="K156" s="580">
        <v>1993</v>
      </c>
      <c r="L156" s="580" t="s">
        <v>288</v>
      </c>
      <c r="M156" s="740">
        <v>216</v>
      </c>
      <c r="N156" s="730">
        <v>20.384</v>
      </c>
      <c r="O156" s="586">
        <f t="shared" si="17"/>
        <v>4402.944</v>
      </c>
      <c r="P156" s="719">
        <v>143.98</v>
      </c>
      <c r="Q156" s="730">
        <v>23.73</v>
      </c>
      <c r="R156" s="586">
        <f t="shared" si="18"/>
        <v>3416.6454</v>
      </c>
      <c r="S156" s="586">
        <f t="shared" si="19"/>
        <v>7819.589400000001</v>
      </c>
      <c r="T156" s="747"/>
    </row>
    <row r="157" spans="1:20" s="698" customFormat="1" ht="15" customHeight="1">
      <c r="A157" s="784"/>
      <c r="B157" s="784"/>
      <c r="C157" s="848"/>
      <c r="D157" s="581">
        <v>1</v>
      </c>
      <c r="E157" s="580">
        <v>1</v>
      </c>
      <c r="F157" s="581"/>
      <c r="G157" s="580">
        <v>1</v>
      </c>
      <c r="H157" s="581"/>
      <c r="I157" s="580" t="s">
        <v>212</v>
      </c>
      <c r="J157" s="562" t="s">
        <v>212</v>
      </c>
      <c r="K157" s="580">
        <v>1996</v>
      </c>
      <c r="L157" s="580" t="s">
        <v>276</v>
      </c>
      <c r="M157" s="740">
        <v>249</v>
      </c>
      <c r="N157" s="730">
        <v>20.384</v>
      </c>
      <c r="O157" s="586">
        <f t="shared" si="17"/>
        <v>5075.616</v>
      </c>
      <c r="P157" s="719">
        <v>137.48</v>
      </c>
      <c r="Q157" s="730">
        <v>23.73</v>
      </c>
      <c r="R157" s="586">
        <f t="shared" si="18"/>
        <v>3262.4004</v>
      </c>
      <c r="S157" s="586">
        <f t="shared" si="19"/>
        <v>8338.0164</v>
      </c>
      <c r="T157" s="747"/>
    </row>
    <row r="158" spans="1:20" s="698" customFormat="1" ht="15" customHeight="1">
      <c r="A158" s="784"/>
      <c r="B158" s="784"/>
      <c r="C158" s="848"/>
      <c r="D158" s="581">
        <v>1</v>
      </c>
      <c r="E158" s="580">
        <v>1</v>
      </c>
      <c r="F158" s="581"/>
      <c r="G158" s="580">
        <v>1</v>
      </c>
      <c r="H158" s="581"/>
      <c r="I158" s="562" t="s">
        <v>212</v>
      </c>
      <c r="J158" s="562" t="s">
        <v>212</v>
      </c>
      <c r="K158" s="580">
        <v>2004</v>
      </c>
      <c r="L158" s="580" t="s">
        <v>288</v>
      </c>
      <c r="M158" s="740">
        <v>167</v>
      </c>
      <c r="N158" s="730">
        <v>20.384</v>
      </c>
      <c r="O158" s="586">
        <f t="shared" si="17"/>
        <v>3404.128</v>
      </c>
      <c r="P158" s="719">
        <v>124.98</v>
      </c>
      <c r="Q158" s="730">
        <v>23.73</v>
      </c>
      <c r="R158" s="586">
        <f t="shared" si="18"/>
        <v>2965.7754</v>
      </c>
      <c r="S158" s="586">
        <f t="shared" si="19"/>
        <v>6369.9034</v>
      </c>
      <c r="T158" s="747"/>
    </row>
    <row r="159" spans="1:20" s="698" customFormat="1" ht="15" customHeight="1">
      <c r="A159" s="784"/>
      <c r="B159" s="784"/>
      <c r="C159" s="848"/>
      <c r="D159" s="581">
        <v>1</v>
      </c>
      <c r="E159" s="580">
        <v>1</v>
      </c>
      <c r="F159" s="581"/>
      <c r="G159" s="580">
        <v>1</v>
      </c>
      <c r="H159" s="581"/>
      <c r="I159" s="580" t="s">
        <v>212</v>
      </c>
      <c r="J159" s="562" t="s">
        <v>148</v>
      </c>
      <c r="K159" s="580">
        <v>1998</v>
      </c>
      <c r="L159" s="580" t="s">
        <v>288</v>
      </c>
      <c r="M159" s="740">
        <v>133.5</v>
      </c>
      <c r="N159" s="730">
        <v>20.384</v>
      </c>
      <c r="O159" s="586">
        <f t="shared" si="17"/>
        <v>2721.264</v>
      </c>
      <c r="P159" s="719">
        <v>86.48</v>
      </c>
      <c r="Q159" s="730">
        <v>23.73</v>
      </c>
      <c r="R159" s="586">
        <f t="shared" si="18"/>
        <v>2052.1704</v>
      </c>
      <c r="S159" s="586">
        <f t="shared" si="19"/>
        <v>4773.4344</v>
      </c>
      <c r="T159" s="747"/>
    </row>
    <row r="160" spans="1:20" s="698" customFormat="1" ht="15" customHeight="1">
      <c r="A160" s="784"/>
      <c r="B160" s="784"/>
      <c r="C160" s="848"/>
      <c r="D160" s="581">
        <v>1</v>
      </c>
      <c r="E160" s="580">
        <v>1</v>
      </c>
      <c r="F160" s="581"/>
      <c r="G160" s="580">
        <v>1</v>
      </c>
      <c r="H160" s="581"/>
      <c r="I160" s="580" t="s">
        <v>212</v>
      </c>
      <c r="J160" s="562" t="s">
        <v>212</v>
      </c>
      <c r="K160" s="580">
        <v>2000</v>
      </c>
      <c r="L160" s="580" t="s">
        <v>288</v>
      </c>
      <c r="M160" s="740">
        <v>136</v>
      </c>
      <c r="N160" s="730">
        <v>20.384</v>
      </c>
      <c r="O160" s="586">
        <f t="shared" si="17"/>
        <v>2772.224</v>
      </c>
      <c r="P160" s="719">
        <v>89.48</v>
      </c>
      <c r="Q160" s="730">
        <v>23.73</v>
      </c>
      <c r="R160" s="586">
        <f t="shared" si="18"/>
        <v>2123.3604</v>
      </c>
      <c r="S160" s="586">
        <f t="shared" si="19"/>
        <v>4895.5844</v>
      </c>
      <c r="T160" s="747"/>
    </row>
    <row r="161" spans="1:20" s="698" customFormat="1" ht="15" customHeight="1">
      <c r="A161" s="784"/>
      <c r="B161" s="784"/>
      <c r="C161" s="848"/>
      <c r="D161" s="581">
        <v>1</v>
      </c>
      <c r="E161" s="581"/>
      <c r="F161" s="580">
        <v>1</v>
      </c>
      <c r="G161" s="580">
        <v>1</v>
      </c>
      <c r="H161" s="581"/>
      <c r="I161" s="580" t="s">
        <v>212</v>
      </c>
      <c r="J161" s="562" t="s">
        <v>212</v>
      </c>
      <c r="K161" s="580">
        <v>2007</v>
      </c>
      <c r="L161" s="580" t="s">
        <v>288</v>
      </c>
      <c r="M161" s="740">
        <v>249</v>
      </c>
      <c r="N161" s="730">
        <v>20.384</v>
      </c>
      <c r="O161" s="586">
        <f t="shared" si="17"/>
        <v>5075.616</v>
      </c>
      <c r="P161" s="719">
        <v>145.48</v>
      </c>
      <c r="Q161" s="730">
        <v>23.73</v>
      </c>
      <c r="R161" s="586">
        <f t="shared" si="18"/>
        <v>3452.2403999999997</v>
      </c>
      <c r="S161" s="586">
        <f t="shared" si="19"/>
        <v>8527.8564</v>
      </c>
      <c r="T161" s="747"/>
    </row>
    <row r="162" spans="1:20" s="698" customFormat="1" ht="15" customHeight="1">
      <c r="A162" s="784"/>
      <c r="B162" s="784"/>
      <c r="C162" s="848"/>
      <c r="D162" s="581">
        <v>1</v>
      </c>
      <c r="E162" s="581"/>
      <c r="F162" s="580">
        <v>1</v>
      </c>
      <c r="G162" s="580">
        <v>1</v>
      </c>
      <c r="H162" s="581"/>
      <c r="I162" s="580" t="s">
        <v>212</v>
      </c>
      <c r="J162" s="562" t="s">
        <v>212</v>
      </c>
      <c r="K162" s="580">
        <v>2005</v>
      </c>
      <c r="L162" s="580" t="s">
        <v>276</v>
      </c>
      <c r="M162" s="740">
        <v>248.16</v>
      </c>
      <c r="N162" s="730">
        <v>20.384</v>
      </c>
      <c r="O162" s="586">
        <f t="shared" si="17"/>
        <v>5058.49344</v>
      </c>
      <c r="P162" s="719">
        <v>130.48</v>
      </c>
      <c r="Q162" s="730">
        <v>23.73</v>
      </c>
      <c r="R162" s="586">
        <f t="shared" si="18"/>
        <v>3096.2904</v>
      </c>
      <c r="S162" s="586">
        <f t="shared" si="19"/>
        <v>8154.78384</v>
      </c>
      <c r="T162" s="747"/>
    </row>
    <row r="163" spans="1:20" s="698" customFormat="1" ht="15" customHeight="1">
      <c r="A163" s="784"/>
      <c r="B163" s="850"/>
      <c r="C163" s="848"/>
      <c r="D163" s="581">
        <v>1</v>
      </c>
      <c r="E163" s="580"/>
      <c r="F163" s="580">
        <v>1</v>
      </c>
      <c r="G163" s="580">
        <v>1</v>
      </c>
      <c r="H163" s="581"/>
      <c r="I163" s="580" t="s">
        <v>212</v>
      </c>
      <c r="J163" s="562" t="s">
        <v>212</v>
      </c>
      <c r="K163" s="580">
        <v>2005</v>
      </c>
      <c r="L163" s="580" t="s">
        <v>275</v>
      </c>
      <c r="M163" s="740">
        <v>0</v>
      </c>
      <c r="N163" s="730">
        <v>20.38</v>
      </c>
      <c r="O163" s="586">
        <f t="shared" si="17"/>
        <v>0</v>
      </c>
      <c r="P163" s="719">
        <v>89.48</v>
      </c>
      <c r="Q163" s="730">
        <v>23.73</v>
      </c>
      <c r="R163" s="586">
        <f t="shared" si="18"/>
        <v>2123.3604</v>
      </c>
      <c r="S163" s="586">
        <f t="shared" si="19"/>
        <v>2123.3604</v>
      </c>
      <c r="T163" s="747"/>
    </row>
    <row r="164" spans="1:20" s="698" customFormat="1" ht="15" customHeight="1">
      <c r="A164" s="784"/>
      <c r="B164" s="784"/>
      <c r="C164" s="851"/>
      <c r="D164" s="581">
        <v>1</v>
      </c>
      <c r="E164" s="581">
        <v>1</v>
      </c>
      <c r="F164" s="581"/>
      <c r="G164" s="580">
        <v>1</v>
      </c>
      <c r="H164" s="581"/>
      <c r="I164" s="580" t="s">
        <v>212</v>
      </c>
      <c r="J164" s="584" t="s">
        <v>212</v>
      </c>
      <c r="K164" s="580">
        <v>2004</v>
      </c>
      <c r="L164" s="580" t="s">
        <v>288</v>
      </c>
      <c r="M164" s="740">
        <v>143</v>
      </c>
      <c r="N164" s="730">
        <v>20.384</v>
      </c>
      <c r="O164" s="586">
        <f t="shared" si="17"/>
        <v>2914.9120000000003</v>
      </c>
      <c r="P164" s="719">
        <v>88.98</v>
      </c>
      <c r="Q164" s="730">
        <v>23.73</v>
      </c>
      <c r="R164" s="586">
        <f t="shared" si="18"/>
        <v>2111.4954000000002</v>
      </c>
      <c r="S164" s="586">
        <f t="shared" si="19"/>
        <v>5026.4074</v>
      </c>
      <c r="T164" s="747"/>
    </row>
    <row r="165" spans="1:20" s="698" customFormat="1" ht="15" customHeight="1">
      <c r="A165" s="784"/>
      <c r="B165" s="853"/>
      <c r="C165" s="851"/>
      <c r="D165" s="581">
        <v>1</v>
      </c>
      <c r="E165" s="581"/>
      <c r="F165" s="580">
        <v>1</v>
      </c>
      <c r="G165" s="580">
        <v>1</v>
      </c>
      <c r="H165" s="581"/>
      <c r="I165" s="580" t="s">
        <v>212</v>
      </c>
      <c r="J165" s="584" t="s">
        <v>212</v>
      </c>
      <c r="K165" s="580">
        <v>2004</v>
      </c>
      <c r="L165" s="580" t="s">
        <v>288</v>
      </c>
      <c r="M165" s="740">
        <v>135.5</v>
      </c>
      <c r="N165" s="730">
        <v>20.384</v>
      </c>
      <c r="O165" s="586">
        <f t="shared" si="17"/>
        <v>2762.032</v>
      </c>
      <c r="P165" s="719">
        <v>88.98</v>
      </c>
      <c r="Q165" s="730">
        <v>23.73</v>
      </c>
      <c r="R165" s="586">
        <f t="shared" si="18"/>
        <v>2111.4954000000002</v>
      </c>
      <c r="S165" s="586">
        <f t="shared" si="19"/>
        <v>4873.527400000001</v>
      </c>
      <c r="T165" s="747"/>
    </row>
    <row r="166" spans="1:20" s="698" customFormat="1" ht="15" customHeight="1">
      <c r="A166" s="784"/>
      <c r="B166" s="784"/>
      <c r="C166" s="851"/>
      <c r="D166" s="581">
        <v>1</v>
      </c>
      <c r="E166" s="581"/>
      <c r="F166" s="580">
        <v>1</v>
      </c>
      <c r="G166" s="581"/>
      <c r="H166" s="580">
        <v>1</v>
      </c>
      <c r="I166" s="580" t="s">
        <v>212</v>
      </c>
      <c r="J166" s="584" t="s">
        <v>460</v>
      </c>
      <c r="K166" s="580">
        <v>1998</v>
      </c>
      <c r="L166" s="580" t="s">
        <v>288</v>
      </c>
      <c r="M166" s="740">
        <v>133.66</v>
      </c>
      <c r="N166" s="730">
        <v>20.384</v>
      </c>
      <c r="O166" s="586">
        <f t="shared" si="17"/>
        <v>2724.52544</v>
      </c>
      <c r="P166" s="740">
        <v>85.98</v>
      </c>
      <c r="Q166" s="730">
        <v>23.73</v>
      </c>
      <c r="R166" s="586">
        <f t="shared" si="18"/>
        <v>2040.3054000000002</v>
      </c>
      <c r="S166" s="586">
        <f t="shared" si="19"/>
        <v>4764.8308400000005</v>
      </c>
      <c r="T166" s="747"/>
    </row>
    <row r="167" spans="1:20" s="698" customFormat="1" ht="15" customHeight="1">
      <c r="A167" s="784"/>
      <c r="B167" s="784"/>
      <c r="C167" s="848"/>
      <c r="D167" s="581">
        <v>1</v>
      </c>
      <c r="E167" s="581">
        <v>1</v>
      </c>
      <c r="F167" s="581"/>
      <c r="G167" s="581"/>
      <c r="H167" s="580">
        <v>1</v>
      </c>
      <c r="I167" s="581" t="s">
        <v>212</v>
      </c>
      <c r="J167" s="584" t="s">
        <v>460</v>
      </c>
      <c r="K167" s="580">
        <v>2003</v>
      </c>
      <c r="L167" s="580" t="s">
        <v>288</v>
      </c>
      <c r="M167" s="740">
        <v>135.67</v>
      </c>
      <c r="N167" s="730">
        <v>20.384</v>
      </c>
      <c r="O167" s="586">
        <f t="shared" si="17"/>
        <v>2765.4972799999996</v>
      </c>
      <c r="P167" s="740">
        <v>89.48</v>
      </c>
      <c r="Q167" s="730">
        <v>23.73</v>
      </c>
      <c r="R167" s="586">
        <f t="shared" si="18"/>
        <v>2123.3604</v>
      </c>
      <c r="S167" s="586">
        <f t="shared" si="19"/>
        <v>4888.857679999999</v>
      </c>
      <c r="T167" s="747"/>
    </row>
    <row r="168" spans="1:20" s="698" customFormat="1" ht="15" customHeight="1">
      <c r="A168" s="784"/>
      <c r="B168" s="850"/>
      <c r="C168" s="851"/>
      <c r="D168" s="581">
        <v>1</v>
      </c>
      <c r="E168" s="580">
        <v>1</v>
      </c>
      <c r="F168" s="580"/>
      <c r="G168" s="581"/>
      <c r="H168" s="580">
        <v>1</v>
      </c>
      <c r="I168" s="580" t="s">
        <v>212</v>
      </c>
      <c r="J168" s="584" t="s">
        <v>427</v>
      </c>
      <c r="K168" s="580">
        <v>2004</v>
      </c>
      <c r="L168" s="580" t="s">
        <v>275</v>
      </c>
      <c r="M168" s="740">
        <v>0</v>
      </c>
      <c r="N168" s="730">
        <v>20.38</v>
      </c>
      <c r="O168" s="586">
        <f t="shared" si="17"/>
        <v>0</v>
      </c>
      <c r="P168" s="719">
        <v>89.48</v>
      </c>
      <c r="Q168" s="730">
        <v>23.73</v>
      </c>
      <c r="R168" s="586">
        <f t="shared" si="18"/>
        <v>2123.3604</v>
      </c>
      <c r="S168" s="586">
        <f t="shared" si="19"/>
        <v>2123.3604</v>
      </c>
      <c r="T168" s="747"/>
    </row>
    <row r="169" spans="1:20" s="698" customFormat="1" ht="15" customHeight="1">
      <c r="A169" s="784"/>
      <c r="B169" s="784"/>
      <c r="C169" s="851"/>
      <c r="D169" s="581">
        <v>1</v>
      </c>
      <c r="E169" s="580"/>
      <c r="F169" s="580">
        <v>1</v>
      </c>
      <c r="G169" s="581">
        <v>1</v>
      </c>
      <c r="H169" s="581"/>
      <c r="I169" s="580" t="s">
        <v>363</v>
      </c>
      <c r="J169" s="584" t="s">
        <v>212</v>
      </c>
      <c r="K169" s="580">
        <v>1998</v>
      </c>
      <c r="L169" s="580" t="s">
        <v>288</v>
      </c>
      <c r="M169" s="740">
        <v>175.5</v>
      </c>
      <c r="N169" s="730">
        <v>20.384</v>
      </c>
      <c r="O169" s="586">
        <f t="shared" si="17"/>
        <v>3577.3920000000003</v>
      </c>
      <c r="P169" s="719">
        <v>109.48</v>
      </c>
      <c r="Q169" s="730">
        <v>23.73</v>
      </c>
      <c r="R169" s="586">
        <f t="shared" si="18"/>
        <v>2597.9604</v>
      </c>
      <c r="S169" s="586">
        <f t="shared" si="19"/>
        <v>6175.3524</v>
      </c>
      <c r="T169" s="747"/>
    </row>
    <row r="170" spans="1:19" s="698" customFormat="1" ht="15" customHeight="1">
      <c r="A170" s="784"/>
      <c r="B170" s="850"/>
      <c r="C170" s="851"/>
      <c r="D170" s="580">
        <v>1</v>
      </c>
      <c r="E170" s="580">
        <v>1</v>
      </c>
      <c r="F170" s="719"/>
      <c r="G170" s="581">
        <v>1</v>
      </c>
      <c r="H170" s="748"/>
      <c r="I170" s="580" t="s">
        <v>212</v>
      </c>
      <c r="J170" s="584" t="s">
        <v>212</v>
      </c>
      <c r="K170" s="580">
        <v>2006</v>
      </c>
      <c r="L170" s="580" t="s">
        <v>275</v>
      </c>
      <c r="M170" s="740">
        <v>0</v>
      </c>
      <c r="N170" s="730">
        <v>20.384</v>
      </c>
      <c r="O170" s="586">
        <f t="shared" si="17"/>
        <v>0</v>
      </c>
      <c r="P170" s="719">
        <v>78.98</v>
      </c>
      <c r="Q170" s="730">
        <v>23.73</v>
      </c>
      <c r="R170" s="586">
        <f t="shared" si="18"/>
        <v>1874.1954</v>
      </c>
      <c r="S170" s="586">
        <f t="shared" si="19"/>
        <v>1874.1954</v>
      </c>
    </row>
    <row r="171" spans="1:19" s="698" customFormat="1" ht="15" customHeight="1">
      <c r="A171" s="784"/>
      <c r="B171" s="784"/>
      <c r="C171" s="851"/>
      <c r="D171" s="580">
        <v>1</v>
      </c>
      <c r="E171" s="580">
        <v>1</v>
      </c>
      <c r="F171" s="719"/>
      <c r="G171" s="581">
        <v>1</v>
      </c>
      <c r="H171" s="719"/>
      <c r="I171" s="580" t="s">
        <v>212</v>
      </c>
      <c r="J171" s="584" t="s">
        <v>212</v>
      </c>
      <c r="K171" s="580">
        <v>2001</v>
      </c>
      <c r="L171" s="580" t="s">
        <v>288</v>
      </c>
      <c r="M171" s="740">
        <v>133.5</v>
      </c>
      <c r="N171" s="730">
        <v>20.384</v>
      </c>
      <c r="O171" s="586">
        <f t="shared" si="17"/>
        <v>2721.264</v>
      </c>
      <c r="P171" s="740">
        <v>86.48</v>
      </c>
      <c r="Q171" s="730">
        <v>23.73</v>
      </c>
      <c r="R171" s="586">
        <f t="shared" si="18"/>
        <v>2052.1704</v>
      </c>
      <c r="S171" s="586">
        <f t="shared" si="19"/>
        <v>4773.4344</v>
      </c>
    </row>
    <row r="172" spans="1:19" s="698" customFormat="1" ht="15" customHeight="1">
      <c r="A172" s="784"/>
      <c r="B172" s="784"/>
      <c r="C172" s="851"/>
      <c r="D172" s="580">
        <v>1</v>
      </c>
      <c r="E172" s="580">
        <v>1</v>
      </c>
      <c r="F172" s="719"/>
      <c r="G172" s="581">
        <v>1</v>
      </c>
      <c r="H172" s="719"/>
      <c r="I172" s="580" t="s">
        <v>212</v>
      </c>
      <c r="J172" s="584" t="s">
        <v>212</v>
      </c>
      <c r="K172" s="580">
        <v>2002</v>
      </c>
      <c r="L172" s="580" t="s">
        <v>288</v>
      </c>
      <c r="M172" s="740">
        <v>259.5</v>
      </c>
      <c r="N172" s="730">
        <v>20.384</v>
      </c>
      <c r="O172" s="586">
        <f t="shared" si="17"/>
        <v>5289.648</v>
      </c>
      <c r="P172" s="740">
        <v>158.48</v>
      </c>
      <c r="Q172" s="730">
        <v>23.73</v>
      </c>
      <c r="R172" s="586">
        <f t="shared" si="18"/>
        <v>3760.7304</v>
      </c>
      <c r="S172" s="586">
        <f t="shared" si="19"/>
        <v>9050.3784</v>
      </c>
    </row>
    <row r="173" spans="1:19" s="698" customFormat="1" ht="15" customHeight="1">
      <c r="A173" s="784"/>
      <c r="B173" s="784"/>
      <c r="C173" s="851"/>
      <c r="D173" s="580">
        <v>1</v>
      </c>
      <c r="E173" s="580">
        <v>1</v>
      </c>
      <c r="F173" s="719"/>
      <c r="G173" s="581">
        <v>1</v>
      </c>
      <c r="H173" s="719"/>
      <c r="I173" s="580" t="s">
        <v>212</v>
      </c>
      <c r="J173" s="584" t="s">
        <v>212</v>
      </c>
      <c r="K173" s="580">
        <v>1993</v>
      </c>
      <c r="L173" s="740" t="s">
        <v>53</v>
      </c>
      <c r="M173" s="740">
        <v>135.5</v>
      </c>
      <c r="N173" s="730">
        <v>20.384</v>
      </c>
      <c r="O173" s="586">
        <f t="shared" si="17"/>
        <v>2762.032</v>
      </c>
      <c r="P173" s="740">
        <v>0</v>
      </c>
      <c r="Q173" s="730">
        <v>23.73</v>
      </c>
      <c r="R173" s="586">
        <f t="shared" si="18"/>
        <v>0</v>
      </c>
      <c r="S173" s="586">
        <f t="shared" si="19"/>
        <v>2762.032</v>
      </c>
    </row>
    <row r="174" spans="1:19" s="698" customFormat="1" ht="15" customHeight="1">
      <c r="A174" s="784"/>
      <c r="B174" s="784"/>
      <c r="C174" s="851"/>
      <c r="D174" s="580">
        <v>1</v>
      </c>
      <c r="E174" s="580">
        <v>1</v>
      </c>
      <c r="F174" s="719"/>
      <c r="G174" s="581"/>
      <c r="H174" s="580">
        <v>1</v>
      </c>
      <c r="I174" s="580" t="s">
        <v>212</v>
      </c>
      <c r="J174" s="584" t="s">
        <v>327</v>
      </c>
      <c r="K174" s="580">
        <v>2001</v>
      </c>
      <c r="L174" s="740" t="s">
        <v>53</v>
      </c>
      <c r="M174" s="740">
        <v>135</v>
      </c>
      <c r="N174" s="730">
        <v>20.384</v>
      </c>
      <c r="O174" s="586">
        <f t="shared" si="17"/>
        <v>2751.84</v>
      </c>
      <c r="P174" s="740">
        <v>0</v>
      </c>
      <c r="Q174" s="730">
        <v>23.73</v>
      </c>
      <c r="R174" s="586">
        <f t="shared" si="18"/>
        <v>0</v>
      </c>
      <c r="S174" s="586">
        <f t="shared" si="19"/>
        <v>2751.84</v>
      </c>
    </row>
    <row r="175" spans="1:19" s="744" customFormat="1" ht="15" customHeight="1">
      <c r="A175" s="784"/>
      <c r="B175" s="784"/>
      <c r="C175" s="851"/>
      <c r="D175" s="580">
        <v>1</v>
      </c>
      <c r="E175" s="580"/>
      <c r="F175" s="580">
        <v>1</v>
      </c>
      <c r="G175" s="581">
        <v>1</v>
      </c>
      <c r="H175" s="719"/>
      <c r="I175" s="580" t="s">
        <v>212</v>
      </c>
      <c r="J175" s="584" t="s">
        <v>212</v>
      </c>
      <c r="K175" s="580">
        <v>2004</v>
      </c>
      <c r="L175" s="580" t="s">
        <v>288</v>
      </c>
      <c r="M175" s="740">
        <v>259.5</v>
      </c>
      <c r="N175" s="730">
        <v>20.384</v>
      </c>
      <c r="O175" s="586">
        <f t="shared" si="17"/>
        <v>5289.648</v>
      </c>
      <c r="P175" s="740">
        <v>169.48</v>
      </c>
      <c r="Q175" s="730">
        <v>23.73</v>
      </c>
      <c r="R175" s="586">
        <f t="shared" si="18"/>
        <v>4021.7603999999997</v>
      </c>
      <c r="S175" s="586">
        <f t="shared" si="19"/>
        <v>9311.4084</v>
      </c>
    </row>
    <row r="176" spans="1:19" s="744" customFormat="1" ht="15" customHeight="1">
      <c r="A176" s="784"/>
      <c r="B176" s="850"/>
      <c r="C176" s="851"/>
      <c r="D176" s="580">
        <v>1</v>
      </c>
      <c r="E176" s="580">
        <v>1</v>
      </c>
      <c r="F176" s="719"/>
      <c r="G176" s="581">
        <v>1</v>
      </c>
      <c r="H176" s="719"/>
      <c r="I176" s="580" t="s">
        <v>212</v>
      </c>
      <c r="J176" s="584" t="s">
        <v>212</v>
      </c>
      <c r="K176" s="580">
        <v>2000</v>
      </c>
      <c r="L176" s="580" t="s">
        <v>288</v>
      </c>
      <c r="M176" s="740">
        <v>176</v>
      </c>
      <c r="N176" s="730">
        <v>20.384</v>
      </c>
      <c r="O176" s="586">
        <f t="shared" si="17"/>
        <v>3587.584</v>
      </c>
      <c r="P176" s="740">
        <v>114.48</v>
      </c>
      <c r="Q176" s="730">
        <v>23.73</v>
      </c>
      <c r="R176" s="586">
        <f t="shared" si="18"/>
        <v>2716.6104</v>
      </c>
      <c r="S176" s="586">
        <f t="shared" si="19"/>
        <v>6304.1944</v>
      </c>
    </row>
    <row r="177" spans="1:19" s="744" customFormat="1" ht="15" customHeight="1">
      <c r="A177" s="1145" t="s">
        <v>111</v>
      </c>
      <c r="B177" s="1146"/>
      <c r="C177" s="749"/>
      <c r="D177" s="580"/>
      <c r="E177" s="720"/>
      <c r="F177" s="719"/>
      <c r="G177" s="732"/>
      <c r="H177" s="719"/>
      <c r="I177" s="720"/>
      <c r="J177" s="749"/>
      <c r="K177" s="720"/>
      <c r="L177" s="740" t="s">
        <v>53</v>
      </c>
      <c r="M177" s="740">
        <v>60.5</v>
      </c>
      <c r="N177" s="730">
        <v>20.384</v>
      </c>
      <c r="O177" s="586">
        <f t="shared" si="17"/>
        <v>1233.232</v>
      </c>
      <c r="P177" s="740">
        <v>0</v>
      </c>
      <c r="Q177" s="730">
        <v>23.73</v>
      </c>
      <c r="R177" s="586">
        <f t="shared" si="18"/>
        <v>0</v>
      </c>
      <c r="S177" s="586">
        <f t="shared" si="19"/>
        <v>1233.232</v>
      </c>
    </row>
    <row r="178" spans="1:19" s="698" customFormat="1" ht="15" customHeight="1">
      <c r="A178" s="1145" t="s">
        <v>481</v>
      </c>
      <c r="B178" s="1146"/>
      <c r="C178" s="578"/>
      <c r="D178" s="719"/>
      <c r="E178" s="719"/>
      <c r="F178" s="719"/>
      <c r="G178" s="719"/>
      <c r="H178" s="719"/>
      <c r="I178" s="750"/>
      <c r="J178" s="719"/>
      <c r="K178" s="719"/>
      <c r="L178" s="580" t="s">
        <v>288</v>
      </c>
      <c r="M178" s="740">
        <v>103</v>
      </c>
      <c r="N178" s="730">
        <v>20.384</v>
      </c>
      <c r="O178" s="586">
        <f t="shared" si="17"/>
        <v>2099.552</v>
      </c>
      <c r="P178" s="646">
        <v>68</v>
      </c>
      <c r="Q178" s="730">
        <v>23.73</v>
      </c>
      <c r="R178" s="586">
        <f t="shared" si="18"/>
        <v>1613.64</v>
      </c>
      <c r="S178" s="586">
        <f t="shared" si="19"/>
        <v>3713.192</v>
      </c>
    </row>
    <row r="179" spans="1:19" s="698" customFormat="1" ht="15" customHeight="1">
      <c r="A179" s="1145" t="s">
        <v>482</v>
      </c>
      <c r="B179" s="1146"/>
      <c r="C179" s="578"/>
      <c r="D179" s="719"/>
      <c r="E179" s="719"/>
      <c r="F179" s="719"/>
      <c r="G179" s="719"/>
      <c r="H179" s="719"/>
      <c r="I179" s="750"/>
      <c r="J179" s="719"/>
      <c r="K179" s="719"/>
      <c r="L179" s="580" t="s">
        <v>288</v>
      </c>
      <c r="M179" s="740">
        <v>81.5</v>
      </c>
      <c r="N179" s="730">
        <v>20.384</v>
      </c>
      <c r="O179" s="586">
        <f t="shared" si="17"/>
        <v>1661.296</v>
      </c>
      <c r="P179" s="646">
        <v>54</v>
      </c>
      <c r="Q179" s="730">
        <v>23.73</v>
      </c>
      <c r="R179" s="586">
        <f t="shared" si="18"/>
        <v>1281.42</v>
      </c>
      <c r="S179" s="586">
        <f t="shared" si="19"/>
        <v>2942.7160000000003</v>
      </c>
    </row>
    <row r="180" spans="1:19" s="698" customFormat="1" ht="15" customHeight="1">
      <c r="A180" s="1145" t="s">
        <v>224</v>
      </c>
      <c r="B180" s="1146"/>
      <c r="C180" s="578"/>
      <c r="D180" s="719"/>
      <c r="E180" s="719"/>
      <c r="F180" s="719"/>
      <c r="G180" s="719"/>
      <c r="H180" s="719"/>
      <c r="I180" s="750"/>
      <c r="J180" s="719"/>
      <c r="K180" s="719"/>
      <c r="L180" s="580" t="s">
        <v>288</v>
      </c>
      <c r="M180" s="740">
        <v>131.72</v>
      </c>
      <c r="N180" s="730">
        <v>20.384</v>
      </c>
      <c r="O180" s="586">
        <f t="shared" si="17"/>
        <v>2684.98048</v>
      </c>
      <c r="P180" s="646">
        <v>56</v>
      </c>
      <c r="Q180" s="730">
        <v>23.73</v>
      </c>
      <c r="R180" s="586">
        <f t="shared" si="18"/>
        <v>1328.88</v>
      </c>
      <c r="S180" s="586">
        <f t="shared" si="19"/>
        <v>4013.8604800000003</v>
      </c>
    </row>
    <row r="181" spans="1:19" s="698" customFormat="1" ht="15" customHeight="1">
      <c r="A181" s="1147" t="s">
        <v>51</v>
      </c>
      <c r="B181" s="1148"/>
      <c r="C181" s="578"/>
      <c r="D181" s="719"/>
      <c r="E181" s="719"/>
      <c r="F181" s="719"/>
      <c r="G181" s="719"/>
      <c r="H181" s="719"/>
      <c r="I181" s="750"/>
      <c r="J181" s="719"/>
      <c r="K181" s="719"/>
      <c r="L181" s="646"/>
      <c r="M181" s="740"/>
      <c r="N181" s="730"/>
      <c r="O181" s="586"/>
      <c r="P181" s="646"/>
      <c r="Q181" s="730"/>
      <c r="R181" s="586"/>
      <c r="S181" s="586">
        <f>64197.76-58496.35</f>
        <v>5701.4100000000035</v>
      </c>
    </row>
    <row r="182" spans="1:19" s="699" customFormat="1" ht="15" customHeight="1">
      <c r="A182" s="1138" t="s">
        <v>478</v>
      </c>
      <c r="B182" s="1138"/>
      <c r="C182" s="553"/>
      <c r="D182" s="553">
        <f>SUM(D154:D181)</f>
        <v>23</v>
      </c>
      <c r="E182" s="553">
        <f>SUM(E154:E180)</f>
        <v>16</v>
      </c>
      <c r="F182" s="553">
        <f>SUM(F154:F180)</f>
        <v>7</v>
      </c>
      <c r="G182" s="553">
        <f>SUM(G154:G180)</f>
        <v>17</v>
      </c>
      <c r="H182" s="553">
        <f>SUM(H154:H180)</f>
        <v>6</v>
      </c>
      <c r="I182" s="751"/>
      <c r="J182" s="554"/>
      <c r="K182" s="554"/>
      <c r="L182" s="655"/>
      <c r="M182" s="655">
        <f>SUM(M154:M180)</f>
        <v>3865.71</v>
      </c>
      <c r="N182" s="554"/>
      <c r="O182" s="550">
        <f>SUM(O152:O180)</f>
        <v>78798.63264000001</v>
      </c>
      <c r="P182" s="655">
        <f>SUM(P154:P180)</f>
        <v>2465.08</v>
      </c>
      <c r="Q182" s="554"/>
      <c r="R182" s="552">
        <f>SUM(R154:R180)</f>
        <v>58496.34839999999</v>
      </c>
      <c r="S182" s="752">
        <f>SUM(S154:S181)</f>
        <v>142996.39104000002</v>
      </c>
    </row>
    <row r="183" spans="1:19" s="559" customFormat="1" ht="15" customHeight="1">
      <c r="A183" s="1140" t="s">
        <v>65</v>
      </c>
      <c r="B183" s="1140"/>
      <c r="C183" s="638"/>
      <c r="D183" s="638"/>
      <c r="E183" s="695"/>
      <c r="F183" s="638"/>
      <c r="G183" s="638"/>
      <c r="H183" s="638"/>
      <c r="I183" s="638"/>
      <c r="J183" s="638"/>
      <c r="K183" s="638"/>
      <c r="L183" s="710"/>
      <c r="M183" s="661"/>
      <c r="N183" s="738"/>
      <c r="O183" s="728"/>
      <c r="P183" s="728"/>
      <c r="Q183" s="738"/>
      <c r="R183" s="728"/>
      <c r="S183" s="643"/>
    </row>
    <row r="184" spans="1:19" s="559" customFormat="1" ht="57" customHeight="1">
      <c r="A184" s="511" t="s">
        <v>332</v>
      </c>
      <c r="B184" s="511" t="s">
        <v>333</v>
      </c>
      <c r="C184" s="511" t="s">
        <v>213</v>
      </c>
      <c r="D184" s="512" t="s">
        <v>36</v>
      </c>
      <c r="E184" s="512" t="s">
        <v>73</v>
      </c>
      <c r="F184" s="512" t="s">
        <v>74</v>
      </c>
      <c r="G184" s="512" t="s">
        <v>37</v>
      </c>
      <c r="H184" s="512" t="s">
        <v>38</v>
      </c>
      <c r="I184" s="512" t="s">
        <v>15</v>
      </c>
      <c r="J184" s="512" t="s">
        <v>214</v>
      </c>
      <c r="K184" s="512" t="s">
        <v>39</v>
      </c>
      <c r="L184" s="512" t="s">
        <v>84</v>
      </c>
      <c r="M184" s="634" t="s">
        <v>287</v>
      </c>
      <c r="N184" s="729" t="s">
        <v>40</v>
      </c>
      <c r="O184" s="634" t="s">
        <v>57</v>
      </c>
      <c r="P184" s="634" t="s">
        <v>514</v>
      </c>
      <c r="Q184" s="729" t="s">
        <v>40</v>
      </c>
      <c r="R184" s="634" t="s">
        <v>57</v>
      </c>
      <c r="S184" s="511" t="s">
        <v>58</v>
      </c>
    </row>
    <row r="185" spans="1:19" s="744" customFormat="1" ht="15" customHeight="1">
      <c r="A185" s="854"/>
      <c r="B185" s="854"/>
      <c r="C185" s="851"/>
      <c r="D185" s="580">
        <v>1</v>
      </c>
      <c r="E185" s="580">
        <v>1</v>
      </c>
      <c r="F185" s="580"/>
      <c r="G185" s="580">
        <v>1</v>
      </c>
      <c r="H185" s="580"/>
      <c r="I185" s="580" t="s">
        <v>212</v>
      </c>
      <c r="J185" s="584" t="s">
        <v>212</v>
      </c>
      <c r="K185" s="580">
        <v>2000</v>
      </c>
      <c r="L185" s="580" t="s">
        <v>276</v>
      </c>
      <c r="M185" s="740">
        <v>479.5</v>
      </c>
      <c r="N185" s="730">
        <v>20.384</v>
      </c>
      <c r="O185" s="586">
        <f aca="true" t="shared" si="20" ref="O185:O214">M185*N185</f>
        <v>9774.128</v>
      </c>
      <c r="P185" s="646">
        <f>207.11+97.19</f>
        <v>304.3</v>
      </c>
      <c r="Q185" s="730">
        <v>23.73</v>
      </c>
      <c r="R185" s="711">
        <f aca="true" t="shared" si="21" ref="R185:R214">P185*Q185</f>
        <v>7221.039000000001</v>
      </c>
      <c r="S185" s="586">
        <f aca="true" t="shared" si="22" ref="S185:S214">O185+R185</f>
        <v>16995.167</v>
      </c>
    </row>
    <row r="186" spans="1:19" s="744" customFormat="1" ht="15" customHeight="1">
      <c r="A186" s="854"/>
      <c r="B186" s="850"/>
      <c r="C186" s="851"/>
      <c r="D186" s="580">
        <v>1</v>
      </c>
      <c r="E186" s="580">
        <v>1</v>
      </c>
      <c r="F186" s="748"/>
      <c r="G186" s="580">
        <v>1</v>
      </c>
      <c r="H186" s="748"/>
      <c r="I186" s="580" t="s">
        <v>212</v>
      </c>
      <c r="J186" s="584" t="s">
        <v>212</v>
      </c>
      <c r="K186" s="580">
        <v>1996</v>
      </c>
      <c r="L186" s="580" t="s">
        <v>276</v>
      </c>
      <c r="M186" s="646">
        <f>450.66+95+5</f>
        <v>550.6600000000001</v>
      </c>
      <c r="N186" s="730">
        <v>20.384</v>
      </c>
      <c r="O186" s="586">
        <f t="shared" si="20"/>
        <v>11224.653440000002</v>
      </c>
      <c r="P186" s="646">
        <v>38</v>
      </c>
      <c r="Q186" s="730">
        <v>23.73</v>
      </c>
      <c r="R186" s="711">
        <f t="shared" si="21"/>
        <v>901.74</v>
      </c>
      <c r="S186" s="586">
        <f t="shared" si="22"/>
        <v>12126.393440000002</v>
      </c>
    </row>
    <row r="187" spans="1:19" s="744" customFormat="1" ht="15" customHeight="1">
      <c r="A187" s="854"/>
      <c r="B187" s="850"/>
      <c r="C187" s="851"/>
      <c r="D187" s="580">
        <v>1</v>
      </c>
      <c r="E187" s="719"/>
      <c r="F187" s="580">
        <v>1</v>
      </c>
      <c r="G187" s="580">
        <v>1</v>
      </c>
      <c r="H187" s="719"/>
      <c r="I187" s="580" t="s">
        <v>212</v>
      </c>
      <c r="J187" s="584" t="s">
        <v>212</v>
      </c>
      <c r="K187" s="580">
        <v>2005</v>
      </c>
      <c r="L187" s="580" t="s">
        <v>275</v>
      </c>
      <c r="M187" s="740">
        <v>0</v>
      </c>
      <c r="N187" s="730">
        <v>20.384</v>
      </c>
      <c r="O187" s="586">
        <f t="shared" si="20"/>
        <v>0</v>
      </c>
      <c r="P187" s="646">
        <v>86.48</v>
      </c>
      <c r="Q187" s="730">
        <v>23.73</v>
      </c>
      <c r="R187" s="711">
        <f t="shared" si="21"/>
        <v>2052.1704</v>
      </c>
      <c r="S187" s="586">
        <f t="shared" si="22"/>
        <v>2052.1704</v>
      </c>
    </row>
    <row r="188" spans="1:19" s="744" customFormat="1" ht="15" customHeight="1">
      <c r="A188" s="854"/>
      <c r="B188" s="854"/>
      <c r="C188" s="851"/>
      <c r="D188" s="580">
        <v>1</v>
      </c>
      <c r="E188" s="580">
        <v>1</v>
      </c>
      <c r="F188" s="748"/>
      <c r="G188" s="580">
        <v>1</v>
      </c>
      <c r="H188" s="748"/>
      <c r="I188" s="580" t="s">
        <v>212</v>
      </c>
      <c r="J188" s="584" t="s">
        <v>212</v>
      </c>
      <c r="K188" s="580">
        <v>1997</v>
      </c>
      <c r="L188" s="580" t="s">
        <v>366</v>
      </c>
      <c r="M188" s="646">
        <v>135.14</v>
      </c>
      <c r="N188" s="730">
        <v>20.384</v>
      </c>
      <c r="O188" s="586">
        <f t="shared" si="20"/>
        <v>2754.6937599999997</v>
      </c>
      <c r="P188" s="646">
        <v>0</v>
      </c>
      <c r="Q188" s="730">
        <v>23.73</v>
      </c>
      <c r="R188" s="711">
        <f t="shared" si="21"/>
        <v>0</v>
      </c>
      <c r="S188" s="586">
        <f t="shared" si="22"/>
        <v>2754.6937599999997</v>
      </c>
    </row>
    <row r="189" spans="1:19" s="744" customFormat="1" ht="15" customHeight="1">
      <c r="A189" s="854"/>
      <c r="B189" s="784"/>
      <c r="C189" s="851"/>
      <c r="D189" s="580">
        <v>1</v>
      </c>
      <c r="E189" s="580"/>
      <c r="F189" s="580">
        <v>1</v>
      </c>
      <c r="G189" s="580">
        <v>1</v>
      </c>
      <c r="H189" s="719"/>
      <c r="I189" s="562" t="s">
        <v>212</v>
      </c>
      <c r="J189" s="584" t="s">
        <v>212</v>
      </c>
      <c r="K189" s="562">
        <v>1998</v>
      </c>
      <c r="L189" s="580" t="s">
        <v>276</v>
      </c>
      <c r="M189" s="646">
        <v>110.08</v>
      </c>
      <c r="N189" s="730">
        <v>20.384</v>
      </c>
      <c r="O189" s="586">
        <f t="shared" si="20"/>
        <v>2243.87072</v>
      </c>
      <c r="P189" s="646">
        <v>160.9</v>
      </c>
      <c r="Q189" s="730">
        <v>23.73</v>
      </c>
      <c r="R189" s="711">
        <f t="shared" si="21"/>
        <v>3818.157</v>
      </c>
      <c r="S189" s="586">
        <f t="shared" si="22"/>
        <v>6062.02772</v>
      </c>
    </row>
    <row r="190" spans="1:19" s="744" customFormat="1" ht="15" customHeight="1">
      <c r="A190" s="784"/>
      <c r="B190" s="784"/>
      <c r="C190" s="848"/>
      <c r="D190" s="580">
        <v>1</v>
      </c>
      <c r="E190" s="580"/>
      <c r="F190" s="580">
        <v>1</v>
      </c>
      <c r="G190" s="580">
        <v>1</v>
      </c>
      <c r="H190" s="719"/>
      <c r="I190" s="580" t="s">
        <v>212</v>
      </c>
      <c r="J190" s="580" t="s">
        <v>212</v>
      </c>
      <c r="K190" s="580">
        <v>2005</v>
      </c>
      <c r="L190" s="580" t="s">
        <v>366</v>
      </c>
      <c r="M190" s="646">
        <v>22</v>
      </c>
      <c r="N190" s="730">
        <v>20.384</v>
      </c>
      <c r="O190" s="586">
        <f t="shared" si="20"/>
        <v>448.448</v>
      </c>
      <c r="P190" s="646">
        <v>0</v>
      </c>
      <c r="Q190" s="730">
        <v>23.73</v>
      </c>
      <c r="R190" s="711">
        <f t="shared" si="21"/>
        <v>0</v>
      </c>
      <c r="S190" s="753">
        <f t="shared" si="22"/>
        <v>448.448</v>
      </c>
    </row>
    <row r="191" spans="1:19" s="744" customFormat="1" ht="15" customHeight="1">
      <c r="A191" s="784"/>
      <c r="B191" s="784"/>
      <c r="C191" s="848"/>
      <c r="D191" s="580">
        <v>1</v>
      </c>
      <c r="E191" s="580"/>
      <c r="F191" s="580">
        <v>1</v>
      </c>
      <c r="G191" s="580">
        <v>1</v>
      </c>
      <c r="H191" s="719"/>
      <c r="I191" s="580" t="s">
        <v>212</v>
      </c>
      <c r="J191" s="580" t="s">
        <v>212</v>
      </c>
      <c r="K191" s="580">
        <v>2005</v>
      </c>
      <c r="L191" s="580" t="s">
        <v>366</v>
      </c>
      <c r="M191" s="646">
        <v>26</v>
      </c>
      <c r="N191" s="730">
        <v>20.384</v>
      </c>
      <c r="O191" s="586">
        <f t="shared" si="20"/>
        <v>529.984</v>
      </c>
      <c r="P191" s="646">
        <v>0</v>
      </c>
      <c r="Q191" s="730">
        <v>23.73</v>
      </c>
      <c r="R191" s="711">
        <f t="shared" si="21"/>
        <v>0</v>
      </c>
      <c r="S191" s="586">
        <f t="shared" si="22"/>
        <v>529.984</v>
      </c>
    </row>
    <row r="192" spans="1:19" s="744" customFormat="1" ht="15" customHeight="1">
      <c r="A192" s="854"/>
      <c r="B192" s="850"/>
      <c r="C192" s="848"/>
      <c r="D192" s="580">
        <v>1</v>
      </c>
      <c r="E192" s="719"/>
      <c r="F192" s="580">
        <v>1</v>
      </c>
      <c r="G192" s="580">
        <v>1</v>
      </c>
      <c r="H192" s="719"/>
      <c r="I192" s="580" t="s">
        <v>212</v>
      </c>
      <c r="J192" s="580" t="s">
        <v>212</v>
      </c>
      <c r="K192" s="580">
        <v>1998</v>
      </c>
      <c r="L192" s="580" t="s">
        <v>275</v>
      </c>
      <c r="M192" s="740">
        <v>0</v>
      </c>
      <c r="N192" s="730">
        <v>20.384</v>
      </c>
      <c r="O192" s="586">
        <f t="shared" si="20"/>
        <v>0</v>
      </c>
      <c r="P192" s="646">
        <v>89.48</v>
      </c>
      <c r="Q192" s="730">
        <v>23.73</v>
      </c>
      <c r="R192" s="711">
        <f t="shared" si="21"/>
        <v>2123.3604</v>
      </c>
      <c r="S192" s="753">
        <f t="shared" si="22"/>
        <v>2123.3604</v>
      </c>
    </row>
    <row r="193" spans="1:19" s="744" customFormat="1" ht="15" customHeight="1">
      <c r="A193" s="784"/>
      <c r="B193" s="784"/>
      <c r="C193" s="851"/>
      <c r="D193" s="580">
        <v>1</v>
      </c>
      <c r="E193" s="580">
        <v>1</v>
      </c>
      <c r="F193" s="580"/>
      <c r="G193" s="580">
        <v>1</v>
      </c>
      <c r="H193" s="748"/>
      <c r="I193" s="562" t="s">
        <v>212</v>
      </c>
      <c r="J193" s="562" t="s">
        <v>212</v>
      </c>
      <c r="K193" s="562">
        <v>2007</v>
      </c>
      <c r="L193" s="580" t="s">
        <v>276</v>
      </c>
      <c r="M193" s="646">
        <v>356</v>
      </c>
      <c r="N193" s="730">
        <v>20.384</v>
      </c>
      <c r="O193" s="586">
        <f t="shared" si="20"/>
        <v>7256.704</v>
      </c>
      <c r="P193" s="646">
        <v>208.98</v>
      </c>
      <c r="Q193" s="730">
        <v>23.73</v>
      </c>
      <c r="R193" s="711">
        <f t="shared" si="21"/>
        <v>4959.0954</v>
      </c>
      <c r="S193" s="753">
        <f t="shared" si="22"/>
        <v>12215.7994</v>
      </c>
    </row>
    <row r="194" spans="1:19" s="744" customFormat="1" ht="15" customHeight="1">
      <c r="A194" s="784"/>
      <c r="B194" s="784"/>
      <c r="C194" s="848"/>
      <c r="D194" s="580">
        <v>1</v>
      </c>
      <c r="E194" s="580">
        <v>1</v>
      </c>
      <c r="F194" s="719"/>
      <c r="G194" s="580">
        <v>1</v>
      </c>
      <c r="H194" s="719"/>
      <c r="I194" s="580" t="s">
        <v>212</v>
      </c>
      <c r="J194" s="580" t="s">
        <v>212</v>
      </c>
      <c r="K194" s="580">
        <v>2002</v>
      </c>
      <c r="L194" s="580" t="s">
        <v>276</v>
      </c>
      <c r="M194" s="646">
        <v>107</v>
      </c>
      <c r="N194" s="730">
        <v>20.384</v>
      </c>
      <c r="O194" s="586">
        <f t="shared" si="20"/>
        <v>2181.088</v>
      </c>
      <c r="P194" s="646">
        <v>77.48</v>
      </c>
      <c r="Q194" s="730">
        <v>23.73</v>
      </c>
      <c r="R194" s="711">
        <f t="shared" si="21"/>
        <v>1838.6004</v>
      </c>
      <c r="S194" s="753">
        <f t="shared" si="22"/>
        <v>4019.6884</v>
      </c>
    </row>
    <row r="195" spans="1:19" s="744" customFormat="1" ht="15" customHeight="1">
      <c r="A195" s="784"/>
      <c r="B195" s="784"/>
      <c r="C195" s="851"/>
      <c r="D195" s="580">
        <v>1</v>
      </c>
      <c r="E195" s="719"/>
      <c r="F195" s="580">
        <v>1</v>
      </c>
      <c r="G195" s="580">
        <v>1</v>
      </c>
      <c r="H195" s="719"/>
      <c r="I195" s="580" t="s">
        <v>212</v>
      </c>
      <c r="J195" s="584" t="s">
        <v>212</v>
      </c>
      <c r="K195" s="580">
        <v>1997</v>
      </c>
      <c r="L195" s="580" t="s">
        <v>276</v>
      </c>
      <c r="M195" s="646">
        <v>136.5</v>
      </c>
      <c r="N195" s="730">
        <v>20.384</v>
      </c>
      <c r="O195" s="586">
        <f t="shared" si="20"/>
        <v>2782.416</v>
      </c>
      <c r="P195" s="646">
        <v>81.36</v>
      </c>
      <c r="Q195" s="730">
        <v>23.73</v>
      </c>
      <c r="R195" s="711">
        <f t="shared" si="21"/>
        <v>1930.6728</v>
      </c>
      <c r="S195" s="753">
        <f t="shared" si="22"/>
        <v>4713.0888</v>
      </c>
    </row>
    <row r="196" spans="1:19" s="744" customFormat="1" ht="15" customHeight="1">
      <c r="A196" s="784"/>
      <c r="B196" s="784"/>
      <c r="C196" s="851"/>
      <c r="D196" s="580">
        <v>1</v>
      </c>
      <c r="E196" s="580">
        <v>1</v>
      </c>
      <c r="F196" s="719"/>
      <c r="G196" s="580">
        <v>1</v>
      </c>
      <c r="H196" s="719"/>
      <c r="I196" s="580" t="s">
        <v>212</v>
      </c>
      <c r="J196" s="584" t="s">
        <v>212</v>
      </c>
      <c r="K196" s="580">
        <v>2002</v>
      </c>
      <c r="L196" s="580" t="s">
        <v>276</v>
      </c>
      <c r="M196" s="646">
        <v>137.75</v>
      </c>
      <c r="N196" s="730">
        <v>20.384</v>
      </c>
      <c r="O196" s="586">
        <f t="shared" si="20"/>
        <v>2807.896</v>
      </c>
      <c r="P196" s="646">
        <v>126.61</v>
      </c>
      <c r="Q196" s="730">
        <v>23.73</v>
      </c>
      <c r="R196" s="711">
        <f t="shared" si="21"/>
        <v>3004.4553</v>
      </c>
      <c r="S196" s="753">
        <f t="shared" si="22"/>
        <v>5812.3513</v>
      </c>
    </row>
    <row r="197" spans="1:19" s="744" customFormat="1" ht="15" customHeight="1">
      <c r="A197" s="784"/>
      <c r="B197" s="784"/>
      <c r="C197" s="851"/>
      <c r="D197" s="580">
        <v>1</v>
      </c>
      <c r="E197" s="719"/>
      <c r="F197" s="580">
        <v>1</v>
      </c>
      <c r="G197" s="580">
        <v>1</v>
      </c>
      <c r="H197" s="748"/>
      <c r="I197" s="580" t="s">
        <v>212</v>
      </c>
      <c r="J197" s="584" t="s">
        <v>212</v>
      </c>
      <c r="K197" s="580">
        <v>1999</v>
      </c>
      <c r="L197" s="580" t="s">
        <v>276</v>
      </c>
      <c r="M197" s="646">
        <v>655.5</v>
      </c>
      <c r="N197" s="730">
        <v>20.384</v>
      </c>
      <c r="O197" s="586">
        <f t="shared" si="20"/>
        <v>13361.712</v>
      </c>
      <c r="P197" s="646">
        <v>178.58</v>
      </c>
      <c r="Q197" s="730">
        <v>23.73</v>
      </c>
      <c r="R197" s="711">
        <f t="shared" si="21"/>
        <v>4237.7034</v>
      </c>
      <c r="S197" s="753">
        <f t="shared" si="22"/>
        <v>17599.415399999998</v>
      </c>
    </row>
    <row r="198" spans="1:19" s="744" customFormat="1" ht="15" customHeight="1">
      <c r="A198" s="854"/>
      <c r="B198" s="850"/>
      <c r="C198" s="851"/>
      <c r="D198" s="580">
        <v>1</v>
      </c>
      <c r="E198" s="580">
        <v>1</v>
      </c>
      <c r="F198" s="719"/>
      <c r="G198" s="580">
        <v>1</v>
      </c>
      <c r="H198" s="719"/>
      <c r="I198" s="562" t="s">
        <v>212</v>
      </c>
      <c r="J198" s="584" t="s">
        <v>212</v>
      </c>
      <c r="K198" s="562">
        <v>1994</v>
      </c>
      <c r="L198" s="580" t="s">
        <v>276</v>
      </c>
      <c r="M198" s="646">
        <v>441.5</v>
      </c>
      <c r="N198" s="730">
        <v>20.384</v>
      </c>
      <c r="O198" s="586">
        <f t="shared" si="20"/>
        <v>8999.536</v>
      </c>
      <c r="P198" s="646">
        <v>216.46</v>
      </c>
      <c r="Q198" s="730">
        <v>23.73</v>
      </c>
      <c r="R198" s="711">
        <f t="shared" si="21"/>
        <v>5136.5958</v>
      </c>
      <c r="S198" s="753">
        <f t="shared" si="22"/>
        <v>14136.1318</v>
      </c>
    </row>
    <row r="199" spans="1:19" s="744" customFormat="1" ht="15" customHeight="1">
      <c r="A199" s="854"/>
      <c r="B199" s="854"/>
      <c r="C199" s="851"/>
      <c r="D199" s="580">
        <v>1</v>
      </c>
      <c r="E199" s="580">
        <v>1</v>
      </c>
      <c r="F199" s="719"/>
      <c r="G199" s="580">
        <v>1</v>
      </c>
      <c r="H199" s="719"/>
      <c r="I199" s="562" t="s">
        <v>212</v>
      </c>
      <c r="J199" s="584" t="s">
        <v>212</v>
      </c>
      <c r="K199" s="562">
        <v>2002</v>
      </c>
      <c r="L199" s="580" t="s">
        <v>276</v>
      </c>
      <c r="M199" s="646">
        <v>140.75</v>
      </c>
      <c r="N199" s="730">
        <v>20.384</v>
      </c>
      <c r="O199" s="586">
        <f t="shared" si="20"/>
        <v>2869.0480000000002</v>
      </c>
      <c r="P199" s="646">
        <v>85.1</v>
      </c>
      <c r="Q199" s="730">
        <v>23.73</v>
      </c>
      <c r="R199" s="711">
        <f t="shared" si="21"/>
        <v>2019.423</v>
      </c>
      <c r="S199" s="753">
        <f t="shared" si="22"/>
        <v>4888.4710000000005</v>
      </c>
    </row>
    <row r="200" spans="1:19" s="744" customFormat="1" ht="15" customHeight="1">
      <c r="A200" s="854"/>
      <c r="B200" s="854"/>
      <c r="C200" s="851"/>
      <c r="D200" s="580">
        <v>1</v>
      </c>
      <c r="E200" s="580">
        <v>1</v>
      </c>
      <c r="F200" s="719"/>
      <c r="G200" s="580">
        <v>1</v>
      </c>
      <c r="H200" s="719"/>
      <c r="I200" s="562" t="s">
        <v>212</v>
      </c>
      <c r="J200" s="584" t="s">
        <v>212</v>
      </c>
      <c r="K200" s="562">
        <v>2002</v>
      </c>
      <c r="L200" s="580" t="s">
        <v>276</v>
      </c>
      <c r="M200" s="646">
        <v>137.75</v>
      </c>
      <c r="N200" s="730">
        <v>20.384</v>
      </c>
      <c r="O200" s="586">
        <f t="shared" si="20"/>
        <v>2807.896</v>
      </c>
      <c r="P200" s="646">
        <v>84.6</v>
      </c>
      <c r="Q200" s="730">
        <v>23.73</v>
      </c>
      <c r="R200" s="711">
        <f t="shared" si="21"/>
        <v>2007.558</v>
      </c>
      <c r="S200" s="753">
        <f t="shared" si="22"/>
        <v>4815.454</v>
      </c>
    </row>
    <row r="201" spans="1:19" s="744" customFormat="1" ht="15" customHeight="1">
      <c r="A201" s="784"/>
      <c r="B201" s="784"/>
      <c r="C201" s="851"/>
      <c r="D201" s="580">
        <v>1</v>
      </c>
      <c r="E201" s="580">
        <v>1</v>
      </c>
      <c r="F201" s="719"/>
      <c r="G201" s="580">
        <v>1</v>
      </c>
      <c r="H201" s="719"/>
      <c r="I201" s="562" t="s">
        <v>212</v>
      </c>
      <c r="J201" s="584" t="s">
        <v>212</v>
      </c>
      <c r="K201" s="562">
        <v>1999</v>
      </c>
      <c r="L201" s="580" t="s">
        <v>288</v>
      </c>
      <c r="M201" s="646">
        <v>134.49</v>
      </c>
      <c r="N201" s="730">
        <v>20.384</v>
      </c>
      <c r="O201" s="586">
        <f t="shared" si="20"/>
        <v>2741.44416</v>
      </c>
      <c r="P201" s="646">
        <v>88.36</v>
      </c>
      <c r="Q201" s="730">
        <v>23.73</v>
      </c>
      <c r="R201" s="711">
        <f t="shared" si="21"/>
        <v>2096.7828</v>
      </c>
      <c r="S201" s="753">
        <f t="shared" si="22"/>
        <v>4838.22696</v>
      </c>
    </row>
    <row r="202" spans="1:19" s="744" customFormat="1" ht="15" customHeight="1">
      <c r="A202" s="854"/>
      <c r="B202" s="850"/>
      <c r="C202" s="851"/>
      <c r="D202" s="580">
        <v>1</v>
      </c>
      <c r="E202" s="580">
        <v>1</v>
      </c>
      <c r="F202" s="719"/>
      <c r="G202" s="580">
        <v>1</v>
      </c>
      <c r="H202" s="719"/>
      <c r="I202" s="584" t="s">
        <v>212</v>
      </c>
      <c r="J202" s="584" t="s">
        <v>212</v>
      </c>
      <c r="K202" s="562">
        <v>2001</v>
      </c>
      <c r="L202" s="580" t="s">
        <v>275</v>
      </c>
      <c r="M202" s="750">
        <v>0</v>
      </c>
      <c r="N202" s="730">
        <v>20.384</v>
      </c>
      <c r="O202" s="586">
        <f t="shared" si="20"/>
        <v>0</v>
      </c>
      <c r="P202" s="646">
        <v>103.28</v>
      </c>
      <c r="Q202" s="730">
        <v>23.73</v>
      </c>
      <c r="R202" s="711">
        <f t="shared" si="21"/>
        <v>2450.8344</v>
      </c>
      <c r="S202" s="753">
        <f t="shared" si="22"/>
        <v>2450.8344</v>
      </c>
    </row>
    <row r="203" spans="1:19" s="744" customFormat="1" ht="15" customHeight="1">
      <c r="A203" s="784"/>
      <c r="B203" s="784"/>
      <c r="C203" s="851"/>
      <c r="D203" s="580">
        <v>1</v>
      </c>
      <c r="E203" s="580">
        <v>1</v>
      </c>
      <c r="F203" s="719"/>
      <c r="G203" s="580">
        <v>1</v>
      </c>
      <c r="H203" s="748"/>
      <c r="I203" s="580" t="s">
        <v>212</v>
      </c>
      <c r="J203" s="580" t="s">
        <v>212</v>
      </c>
      <c r="K203" s="580">
        <v>2005</v>
      </c>
      <c r="L203" s="580" t="s">
        <v>276</v>
      </c>
      <c r="M203" s="646">
        <v>428.33</v>
      </c>
      <c r="N203" s="730">
        <v>20.384</v>
      </c>
      <c r="O203" s="586">
        <f t="shared" si="20"/>
        <v>8731.07872</v>
      </c>
      <c r="P203" s="646">
        <v>256.86</v>
      </c>
      <c r="Q203" s="730">
        <v>23.73</v>
      </c>
      <c r="R203" s="711">
        <f t="shared" si="21"/>
        <v>6095.2878</v>
      </c>
      <c r="S203" s="753">
        <f t="shared" si="22"/>
        <v>14826.36652</v>
      </c>
    </row>
    <row r="204" spans="1:19" s="744" customFormat="1" ht="15" customHeight="1">
      <c r="A204" s="784"/>
      <c r="B204" s="784"/>
      <c r="C204" s="851"/>
      <c r="D204" s="580">
        <v>1</v>
      </c>
      <c r="E204" s="580">
        <v>1</v>
      </c>
      <c r="F204" s="719"/>
      <c r="G204" s="580">
        <v>1</v>
      </c>
      <c r="H204" s="719"/>
      <c r="I204" s="584" t="s">
        <v>212</v>
      </c>
      <c r="J204" s="584" t="s">
        <v>212</v>
      </c>
      <c r="K204" s="580">
        <v>1995</v>
      </c>
      <c r="L204" s="580" t="s">
        <v>276</v>
      </c>
      <c r="M204" s="646">
        <v>140.5</v>
      </c>
      <c r="N204" s="730">
        <v>20.384</v>
      </c>
      <c r="O204" s="586">
        <f t="shared" si="20"/>
        <v>2863.952</v>
      </c>
      <c r="P204" s="646">
        <v>86.98</v>
      </c>
      <c r="Q204" s="730">
        <v>23.73</v>
      </c>
      <c r="R204" s="711">
        <f t="shared" si="21"/>
        <v>2064.0354</v>
      </c>
      <c r="S204" s="753">
        <f t="shared" si="22"/>
        <v>4927.9874</v>
      </c>
    </row>
    <row r="205" spans="1:19" s="744" customFormat="1" ht="15" customHeight="1">
      <c r="A205" s="784"/>
      <c r="B205" s="784"/>
      <c r="C205" s="851"/>
      <c r="D205" s="580">
        <v>1</v>
      </c>
      <c r="E205" s="580">
        <v>1</v>
      </c>
      <c r="F205" s="719"/>
      <c r="G205" s="580">
        <v>1</v>
      </c>
      <c r="H205" s="719"/>
      <c r="I205" s="562" t="s">
        <v>212</v>
      </c>
      <c r="J205" s="562" t="s">
        <v>212</v>
      </c>
      <c r="K205" s="562">
        <v>1998</v>
      </c>
      <c r="L205" s="580" t="s">
        <v>366</v>
      </c>
      <c r="M205" s="646">
        <v>128</v>
      </c>
      <c r="N205" s="730">
        <v>20.384</v>
      </c>
      <c r="O205" s="586">
        <f t="shared" si="20"/>
        <v>2609.152</v>
      </c>
      <c r="P205" s="646">
        <v>0</v>
      </c>
      <c r="Q205" s="730">
        <v>23.73</v>
      </c>
      <c r="R205" s="711">
        <f t="shared" si="21"/>
        <v>0</v>
      </c>
      <c r="S205" s="753">
        <f t="shared" si="22"/>
        <v>2609.152</v>
      </c>
    </row>
    <row r="206" spans="1:19" s="744" customFormat="1" ht="15" customHeight="1">
      <c r="A206" s="784"/>
      <c r="B206" s="784"/>
      <c r="C206" s="851"/>
      <c r="D206" s="580">
        <v>1</v>
      </c>
      <c r="E206" s="580">
        <v>1</v>
      </c>
      <c r="F206" s="719"/>
      <c r="G206" s="580">
        <v>1</v>
      </c>
      <c r="H206" s="719"/>
      <c r="I206" s="562" t="s">
        <v>212</v>
      </c>
      <c r="J206" s="584" t="s">
        <v>212</v>
      </c>
      <c r="K206" s="562">
        <v>2001</v>
      </c>
      <c r="L206" s="580" t="s">
        <v>276</v>
      </c>
      <c r="M206" s="646">
        <v>609.92</v>
      </c>
      <c r="N206" s="730">
        <v>20.384</v>
      </c>
      <c r="O206" s="586">
        <f t="shared" si="20"/>
        <v>12432.609279999999</v>
      </c>
      <c r="P206" s="646">
        <v>397.51</v>
      </c>
      <c r="Q206" s="730">
        <v>23.73</v>
      </c>
      <c r="R206" s="711">
        <f t="shared" si="21"/>
        <v>9432.9123</v>
      </c>
      <c r="S206" s="753">
        <f t="shared" si="22"/>
        <v>21865.52158</v>
      </c>
    </row>
    <row r="207" spans="1:19" s="744" customFormat="1" ht="15" customHeight="1">
      <c r="A207" s="854"/>
      <c r="B207" s="850"/>
      <c r="C207" s="855"/>
      <c r="D207" s="580">
        <v>1</v>
      </c>
      <c r="E207" s="719"/>
      <c r="F207" s="580">
        <v>1</v>
      </c>
      <c r="G207" s="719"/>
      <c r="H207" s="580">
        <v>1</v>
      </c>
      <c r="I207" s="750"/>
      <c r="J207" s="719"/>
      <c r="K207" s="719"/>
      <c r="L207" s="580" t="s">
        <v>275</v>
      </c>
      <c r="M207" s="646">
        <v>0</v>
      </c>
      <c r="N207" s="730">
        <v>20.384</v>
      </c>
      <c r="O207" s="586">
        <f t="shared" si="20"/>
        <v>0</v>
      </c>
      <c r="P207" s="646">
        <v>40.48</v>
      </c>
      <c r="Q207" s="730">
        <v>23.73</v>
      </c>
      <c r="R207" s="711">
        <f t="shared" si="21"/>
        <v>960.5903999999999</v>
      </c>
      <c r="S207" s="753">
        <f t="shared" si="22"/>
        <v>960.5903999999999</v>
      </c>
    </row>
    <row r="208" spans="1:19" s="744" customFormat="1" ht="15" customHeight="1">
      <c r="A208" s="854"/>
      <c r="B208" s="850"/>
      <c r="C208" s="851"/>
      <c r="D208" s="580">
        <v>1</v>
      </c>
      <c r="E208" s="719"/>
      <c r="F208" s="580">
        <v>1</v>
      </c>
      <c r="G208" s="580">
        <v>1</v>
      </c>
      <c r="H208" s="719"/>
      <c r="I208" s="562" t="s">
        <v>212</v>
      </c>
      <c r="J208" s="562" t="s">
        <v>212</v>
      </c>
      <c r="K208" s="562">
        <v>1997</v>
      </c>
      <c r="L208" s="580" t="s">
        <v>275</v>
      </c>
      <c r="M208" s="646">
        <v>0</v>
      </c>
      <c r="N208" s="730">
        <v>20.384</v>
      </c>
      <c r="O208" s="586">
        <f t="shared" si="20"/>
        <v>0</v>
      </c>
      <c r="P208" s="646">
        <v>128.86</v>
      </c>
      <c r="Q208" s="730">
        <v>23.73</v>
      </c>
      <c r="R208" s="711">
        <f t="shared" si="21"/>
        <v>3057.8478000000005</v>
      </c>
      <c r="S208" s="753">
        <f t="shared" si="22"/>
        <v>3057.8478000000005</v>
      </c>
    </row>
    <row r="209" spans="1:19" s="744" customFormat="1" ht="15" customHeight="1">
      <c r="A209" s="784"/>
      <c r="B209" s="784"/>
      <c r="C209" s="851"/>
      <c r="D209" s="580">
        <v>1</v>
      </c>
      <c r="E209" s="580">
        <v>1</v>
      </c>
      <c r="F209" s="719"/>
      <c r="G209" s="580">
        <v>1</v>
      </c>
      <c r="H209" s="719"/>
      <c r="I209" s="562" t="s">
        <v>212</v>
      </c>
      <c r="J209" s="562" t="s">
        <v>212</v>
      </c>
      <c r="K209" s="562">
        <v>1995</v>
      </c>
      <c r="L209" s="580" t="s">
        <v>288</v>
      </c>
      <c r="M209" s="646">
        <v>134.5</v>
      </c>
      <c r="N209" s="730">
        <v>20.384</v>
      </c>
      <c r="O209" s="586">
        <f t="shared" si="20"/>
        <v>2741.648</v>
      </c>
      <c r="P209" s="646">
        <v>87.98</v>
      </c>
      <c r="Q209" s="730">
        <v>23.73</v>
      </c>
      <c r="R209" s="711">
        <f t="shared" si="21"/>
        <v>2087.7654</v>
      </c>
      <c r="S209" s="753">
        <f t="shared" si="22"/>
        <v>4829.4134</v>
      </c>
    </row>
    <row r="210" spans="1:19" s="744" customFormat="1" ht="15" customHeight="1">
      <c r="A210" s="854"/>
      <c r="B210" s="850"/>
      <c r="C210" s="851"/>
      <c r="D210" s="580">
        <v>1</v>
      </c>
      <c r="E210" s="580">
        <v>1</v>
      </c>
      <c r="F210" s="719"/>
      <c r="G210" s="580">
        <v>1</v>
      </c>
      <c r="H210" s="719"/>
      <c r="I210" s="562" t="s">
        <v>212</v>
      </c>
      <c r="J210" s="562" t="s">
        <v>212</v>
      </c>
      <c r="K210" s="562">
        <v>1997</v>
      </c>
      <c r="L210" s="580" t="s">
        <v>288</v>
      </c>
      <c r="M210" s="646">
        <v>135</v>
      </c>
      <c r="N210" s="730">
        <v>20.384</v>
      </c>
      <c r="O210" s="586">
        <f t="shared" si="20"/>
        <v>2751.84</v>
      </c>
      <c r="P210" s="646">
        <v>89.48</v>
      </c>
      <c r="Q210" s="730">
        <v>23.73</v>
      </c>
      <c r="R210" s="711">
        <f t="shared" si="21"/>
        <v>2123.3604</v>
      </c>
      <c r="S210" s="753">
        <f t="shared" si="22"/>
        <v>4875.2004</v>
      </c>
    </row>
    <row r="211" spans="1:19" s="744" customFormat="1" ht="15" customHeight="1">
      <c r="A211" s="1145" t="s">
        <v>517</v>
      </c>
      <c r="B211" s="1146"/>
      <c r="C211" s="749"/>
      <c r="D211" s="580"/>
      <c r="E211" s="719"/>
      <c r="F211" s="719"/>
      <c r="G211" s="719"/>
      <c r="H211" s="719"/>
      <c r="I211" s="750"/>
      <c r="J211" s="719"/>
      <c r="K211" s="719"/>
      <c r="L211" s="580" t="s">
        <v>366</v>
      </c>
      <c r="M211" s="646">
        <v>62.5</v>
      </c>
      <c r="N211" s="730">
        <v>20.384</v>
      </c>
      <c r="O211" s="586">
        <f t="shared" si="20"/>
        <v>1274</v>
      </c>
      <c r="P211" s="646">
        <v>0</v>
      </c>
      <c r="Q211" s="730">
        <v>23.73</v>
      </c>
      <c r="R211" s="711">
        <f t="shared" si="21"/>
        <v>0</v>
      </c>
      <c r="S211" s="753">
        <f t="shared" si="22"/>
        <v>1274</v>
      </c>
    </row>
    <row r="212" spans="1:19" s="744" customFormat="1" ht="15" customHeight="1">
      <c r="A212" s="1145" t="s">
        <v>518</v>
      </c>
      <c r="B212" s="1146"/>
      <c r="C212" s="578"/>
      <c r="D212" s="719"/>
      <c r="E212" s="719"/>
      <c r="F212" s="719"/>
      <c r="G212" s="719"/>
      <c r="H212" s="719"/>
      <c r="I212" s="750"/>
      <c r="J212" s="719"/>
      <c r="K212" s="719"/>
      <c r="L212" s="580" t="s">
        <v>288</v>
      </c>
      <c r="M212" s="646">
        <v>69.75</v>
      </c>
      <c r="N212" s="730">
        <v>20.384</v>
      </c>
      <c r="O212" s="586">
        <f t="shared" si="20"/>
        <v>1421.784</v>
      </c>
      <c r="P212" s="646">
        <v>38</v>
      </c>
      <c r="Q212" s="730">
        <v>23.73</v>
      </c>
      <c r="R212" s="711">
        <f t="shared" si="21"/>
        <v>901.74</v>
      </c>
      <c r="S212" s="753">
        <f t="shared" si="22"/>
        <v>2323.5240000000003</v>
      </c>
    </row>
    <row r="213" spans="1:19" s="744" customFormat="1" ht="15" customHeight="1">
      <c r="A213" s="1145" t="s">
        <v>224</v>
      </c>
      <c r="B213" s="1146"/>
      <c r="C213" s="578"/>
      <c r="D213" s="719"/>
      <c r="E213" s="719"/>
      <c r="F213" s="719"/>
      <c r="G213" s="719"/>
      <c r="H213" s="719"/>
      <c r="I213" s="750"/>
      <c r="J213" s="719"/>
      <c r="K213" s="719"/>
      <c r="L213" s="580" t="s">
        <v>288</v>
      </c>
      <c r="M213" s="646">
        <v>65.41</v>
      </c>
      <c r="N213" s="730">
        <v>20.384</v>
      </c>
      <c r="O213" s="586">
        <f t="shared" si="20"/>
        <v>1333.31744</v>
      </c>
      <c r="P213" s="646">
        <v>65</v>
      </c>
      <c r="Q213" s="730">
        <v>23.73</v>
      </c>
      <c r="R213" s="711">
        <f t="shared" si="21"/>
        <v>1542.45</v>
      </c>
      <c r="S213" s="753">
        <f t="shared" si="22"/>
        <v>2875.76744</v>
      </c>
    </row>
    <row r="214" spans="1:19" s="744" customFormat="1" ht="15" customHeight="1">
      <c r="A214" s="1145" t="s">
        <v>291</v>
      </c>
      <c r="B214" s="1146"/>
      <c r="C214" s="578"/>
      <c r="D214" s="719"/>
      <c r="E214" s="719"/>
      <c r="F214" s="719"/>
      <c r="G214" s="719"/>
      <c r="H214" s="719"/>
      <c r="I214" s="750"/>
      <c r="J214" s="719"/>
      <c r="K214" s="719"/>
      <c r="L214" s="646" t="s">
        <v>53</v>
      </c>
      <c r="M214" s="646">
        <v>20.13</v>
      </c>
      <c r="N214" s="730">
        <v>20.384</v>
      </c>
      <c r="O214" s="586">
        <f t="shared" si="20"/>
        <v>410.32991999999996</v>
      </c>
      <c r="P214" s="646">
        <v>0</v>
      </c>
      <c r="Q214" s="730">
        <v>23.73</v>
      </c>
      <c r="R214" s="711">
        <f t="shared" si="21"/>
        <v>0</v>
      </c>
      <c r="S214" s="753">
        <f t="shared" si="22"/>
        <v>410.32991999999996</v>
      </c>
    </row>
    <row r="215" spans="1:19" s="744" customFormat="1" ht="15" customHeight="1">
      <c r="A215" s="1147" t="s">
        <v>51</v>
      </c>
      <c r="B215" s="1148"/>
      <c r="C215" s="578"/>
      <c r="D215" s="719"/>
      <c r="E215" s="719"/>
      <c r="F215" s="719"/>
      <c r="G215" s="719"/>
      <c r="H215" s="719"/>
      <c r="I215" s="750"/>
      <c r="J215" s="719"/>
      <c r="K215" s="719"/>
      <c r="L215" s="646"/>
      <c r="M215" s="646"/>
      <c r="N215" s="730"/>
      <c r="O215" s="586"/>
      <c r="P215" s="646"/>
      <c r="Q215" s="730"/>
      <c r="R215" s="753"/>
      <c r="S215" s="753">
        <f>90477.56-74064.18</f>
        <v>16413.380000000005</v>
      </c>
    </row>
    <row r="216" spans="1:19" s="744" customFormat="1" ht="15" customHeight="1">
      <c r="A216" s="1147" t="s">
        <v>80</v>
      </c>
      <c r="B216" s="1148"/>
      <c r="C216" s="578"/>
      <c r="D216" s="719"/>
      <c r="E216" s="719"/>
      <c r="F216" s="719"/>
      <c r="G216" s="719"/>
      <c r="H216" s="719"/>
      <c r="I216" s="750"/>
      <c r="J216" s="719"/>
      <c r="K216" s="719"/>
      <c r="L216" s="646"/>
      <c r="M216" s="646"/>
      <c r="N216" s="730"/>
      <c r="O216" s="586"/>
      <c r="P216" s="646"/>
      <c r="Q216" s="730"/>
      <c r="R216" s="753"/>
      <c r="S216" s="586">
        <v>3334.42</v>
      </c>
    </row>
    <row r="217" spans="1:19" s="744" customFormat="1" ht="15" customHeight="1">
      <c r="A217" s="1147" t="s">
        <v>515</v>
      </c>
      <c r="B217" s="1148"/>
      <c r="C217" s="578"/>
      <c r="D217" s="719"/>
      <c r="E217" s="719"/>
      <c r="F217" s="719"/>
      <c r="G217" s="719"/>
      <c r="H217" s="719"/>
      <c r="I217" s="750"/>
      <c r="J217" s="719"/>
      <c r="K217" s="719"/>
      <c r="L217" s="646"/>
      <c r="M217" s="646"/>
      <c r="N217" s="730"/>
      <c r="O217" s="586"/>
      <c r="P217" s="646"/>
      <c r="Q217" s="730"/>
      <c r="R217" s="753"/>
      <c r="S217" s="586">
        <f>-61.15</f>
        <v>-61.15</v>
      </c>
    </row>
    <row r="218" spans="1:19" s="699" customFormat="1" ht="15" customHeight="1">
      <c r="A218" s="1138" t="s">
        <v>340</v>
      </c>
      <c r="B218" s="1138"/>
      <c r="C218" s="553"/>
      <c r="D218" s="553">
        <f>SUM(D185:D217)</f>
        <v>26</v>
      </c>
      <c r="E218" s="553">
        <f>SUM(E185:E217)</f>
        <v>17</v>
      </c>
      <c r="F218" s="553">
        <f>SUM(F185:F217)</f>
        <v>9</v>
      </c>
      <c r="G218" s="553">
        <f>SUM(G185:G217)</f>
        <v>25</v>
      </c>
      <c r="H218" s="553">
        <f>SUM(H185:H217)</f>
        <v>1</v>
      </c>
      <c r="I218" s="751"/>
      <c r="J218" s="554"/>
      <c r="K218" s="554"/>
      <c r="L218" s="655"/>
      <c r="M218" s="655">
        <f>SUM(M185:M214)</f>
        <v>5364.66</v>
      </c>
      <c r="N218" s="554"/>
      <c r="O218" s="550">
        <f>SUM(O185:O214)</f>
        <v>109353.22944000001</v>
      </c>
      <c r="P218" s="655">
        <f>SUM(P185:P214)</f>
        <v>3121.12</v>
      </c>
      <c r="Q218" s="751"/>
      <c r="R218" s="752">
        <f>SUM(R185:R214)</f>
        <v>74064.17760000002</v>
      </c>
      <c r="S218" s="752">
        <f>SUM(S185:S217)</f>
        <v>203104.05703999999</v>
      </c>
    </row>
    <row r="219" spans="1:19" s="559" customFormat="1" ht="15" customHeight="1">
      <c r="A219" s="1140" t="s">
        <v>69</v>
      </c>
      <c r="B219" s="1140"/>
      <c r="C219" s="638"/>
      <c r="D219" s="707"/>
      <c r="E219" s="708"/>
      <c r="F219" s="708"/>
      <c r="G219" s="708"/>
      <c r="H219" s="708"/>
      <c r="I219" s="709"/>
      <c r="J219" s="708"/>
      <c r="K219" s="708"/>
      <c r="L219" s="661"/>
      <c r="M219" s="709"/>
      <c r="N219" s="754"/>
      <c r="O219" s="661"/>
      <c r="P219" s="661"/>
      <c r="Q219" s="754"/>
      <c r="R219" s="710"/>
      <c r="S219" s="710"/>
    </row>
    <row r="220" spans="1:19" s="559" customFormat="1" ht="57" customHeight="1">
      <c r="A220" s="511" t="s">
        <v>332</v>
      </c>
      <c r="B220" s="511" t="s">
        <v>333</v>
      </c>
      <c r="C220" s="511" t="s">
        <v>213</v>
      </c>
      <c r="D220" s="512" t="s">
        <v>36</v>
      </c>
      <c r="E220" s="512" t="s">
        <v>73</v>
      </c>
      <c r="F220" s="512" t="s">
        <v>74</v>
      </c>
      <c r="G220" s="512" t="s">
        <v>37</v>
      </c>
      <c r="H220" s="512" t="s">
        <v>38</v>
      </c>
      <c r="I220" s="512" t="s">
        <v>15</v>
      </c>
      <c r="J220" s="512" t="s">
        <v>214</v>
      </c>
      <c r="K220" s="512" t="s">
        <v>39</v>
      </c>
      <c r="L220" s="512" t="s">
        <v>84</v>
      </c>
      <c r="M220" s="634" t="s">
        <v>287</v>
      </c>
      <c r="N220" s="729" t="s">
        <v>40</v>
      </c>
      <c r="O220" s="634" t="s">
        <v>57</v>
      </c>
      <c r="P220" s="634" t="s">
        <v>514</v>
      </c>
      <c r="Q220" s="729" t="s">
        <v>40</v>
      </c>
      <c r="R220" s="634" t="s">
        <v>57</v>
      </c>
      <c r="S220" s="511" t="s">
        <v>58</v>
      </c>
    </row>
    <row r="221" spans="1:19" s="731" customFormat="1" ht="15" customHeight="1">
      <c r="A221" s="784"/>
      <c r="B221" s="784"/>
      <c r="C221" s="851"/>
      <c r="D221" s="581">
        <v>1</v>
      </c>
      <c r="E221" s="581"/>
      <c r="F221" s="581">
        <v>1</v>
      </c>
      <c r="G221" s="580"/>
      <c r="H221" s="580">
        <v>1</v>
      </c>
      <c r="I221" s="580" t="s">
        <v>326</v>
      </c>
      <c r="J221" s="584" t="s">
        <v>326</v>
      </c>
      <c r="K221" s="581">
        <v>2002</v>
      </c>
      <c r="L221" s="580" t="s">
        <v>288</v>
      </c>
      <c r="M221" s="646">
        <f>217+6</f>
        <v>223</v>
      </c>
      <c r="N221" s="730">
        <v>20.384</v>
      </c>
      <c r="O221" s="586">
        <f aca="true" t="shared" si="23" ref="O221:O247">M221*N221</f>
        <v>4545.6320000000005</v>
      </c>
      <c r="P221" s="646">
        <v>170.48</v>
      </c>
      <c r="Q221" s="730">
        <v>23.73</v>
      </c>
      <c r="R221" s="711">
        <f aca="true" t="shared" si="24" ref="R221:R247">P221*Q221</f>
        <v>4045.4903999999997</v>
      </c>
      <c r="S221" s="711">
        <f aca="true" t="shared" si="25" ref="S221:S247">O221+R221</f>
        <v>8591.1224</v>
      </c>
    </row>
    <row r="222" spans="1:19" s="731" customFormat="1" ht="15" customHeight="1">
      <c r="A222" s="784"/>
      <c r="B222" s="784"/>
      <c r="C222" s="851"/>
      <c r="D222" s="581">
        <v>1</v>
      </c>
      <c r="E222" s="581">
        <v>1</v>
      </c>
      <c r="F222" s="581"/>
      <c r="G222" s="580">
        <v>1</v>
      </c>
      <c r="H222" s="719"/>
      <c r="I222" s="580" t="s">
        <v>212</v>
      </c>
      <c r="J222" s="584" t="s">
        <v>499</v>
      </c>
      <c r="K222" s="581">
        <v>1996</v>
      </c>
      <c r="L222" s="580" t="s">
        <v>276</v>
      </c>
      <c r="M222" s="646">
        <v>125</v>
      </c>
      <c r="N222" s="730">
        <v>20.384</v>
      </c>
      <c r="O222" s="586">
        <f t="shared" si="23"/>
        <v>2548</v>
      </c>
      <c r="P222" s="646">
        <v>85.48</v>
      </c>
      <c r="Q222" s="730">
        <v>23.73</v>
      </c>
      <c r="R222" s="711">
        <f t="shared" si="24"/>
        <v>2028.4404000000002</v>
      </c>
      <c r="S222" s="711">
        <f t="shared" si="25"/>
        <v>4576.4404</v>
      </c>
    </row>
    <row r="223" spans="1:19" s="731" customFormat="1" ht="15" customHeight="1">
      <c r="A223" s="784"/>
      <c r="B223" s="784"/>
      <c r="C223" s="851"/>
      <c r="D223" s="581">
        <v>1</v>
      </c>
      <c r="E223" s="581">
        <v>1</v>
      </c>
      <c r="F223" s="719"/>
      <c r="G223" s="719"/>
      <c r="H223" s="580">
        <v>1</v>
      </c>
      <c r="I223" s="580" t="s">
        <v>212</v>
      </c>
      <c r="J223" s="580" t="s">
        <v>326</v>
      </c>
      <c r="K223" s="581">
        <v>2005</v>
      </c>
      <c r="L223" s="580" t="s">
        <v>276</v>
      </c>
      <c r="M223" s="646">
        <v>0</v>
      </c>
      <c r="N223" s="730">
        <v>20.384</v>
      </c>
      <c r="O223" s="586">
        <f t="shared" si="23"/>
        <v>0</v>
      </c>
      <c r="P223" s="646">
        <v>68.86</v>
      </c>
      <c r="Q223" s="730">
        <v>23.73</v>
      </c>
      <c r="R223" s="711">
        <f t="shared" si="24"/>
        <v>1634.0478</v>
      </c>
      <c r="S223" s="711">
        <f t="shared" si="25"/>
        <v>1634.0478</v>
      </c>
    </row>
    <row r="224" spans="1:19" s="731" customFormat="1" ht="15" customHeight="1">
      <c r="A224" s="784"/>
      <c r="B224" s="784"/>
      <c r="C224" s="848"/>
      <c r="D224" s="581">
        <v>1</v>
      </c>
      <c r="E224" s="581">
        <v>1</v>
      </c>
      <c r="F224" s="719"/>
      <c r="G224" s="580">
        <v>1</v>
      </c>
      <c r="H224" s="719"/>
      <c r="I224" s="580" t="s">
        <v>212</v>
      </c>
      <c r="J224" s="584" t="s">
        <v>212</v>
      </c>
      <c r="K224" s="581">
        <v>1999</v>
      </c>
      <c r="L224" s="580" t="s">
        <v>276</v>
      </c>
      <c r="M224" s="646">
        <v>137</v>
      </c>
      <c r="N224" s="730">
        <v>20.384</v>
      </c>
      <c r="O224" s="586">
        <f t="shared" si="23"/>
        <v>2792.608</v>
      </c>
      <c r="P224" s="646">
        <v>85.86</v>
      </c>
      <c r="Q224" s="730">
        <v>23.73</v>
      </c>
      <c r="R224" s="711">
        <f t="shared" si="24"/>
        <v>2037.4578000000001</v>
      </c>
      <c r="S224" s="711">
        <f t="shared" si="25"/>
        <v>4830.0658</v>
      </c>
    </row>
    <row r="225" spans="1:19" s="731" customFormat="1" ht="15" customHeight="1">
      <c r="A225" s="784"/>
      <c r="B225" s="784"/>
      <c r="C225" s="848"/>
      <c r="D225" s="581">
        <v>1</v>
      </c>
      <c r="E225" s="719"/>
      <c r="F225" s="581">
        <v>1</v>
      </c>
      <c r="G225" s="580">
        <v>1</v>
      </c>
      <c r="H225" s="581"/>
      <c r="I225" s="580" t="s">
        <v>212</v>
      </c>
      <c r="J225" s="584" t="s">
        <v>212</v>
      </c>
      <c r="K225" s="581">
        <v>1999</v>
      </c>
      <c r="L225" s="580" t="s">
        <v>288</v>
      </c>
      <c r="M225" s="646">
        <v>135.5</v>
      </c>
      <c r="N225" s="730">
        <v>20.384</v>
      </c>
      <c r="O225" s="586">
        <f t="shared" si="23"/>
        <v>2762.032</v>
      </c>
      <c r="P225" s="646">
        <v>90.48</v>
      </c>
      <c r="Q225" s="730">
        <v>23.73</v>
      </c>
      <c r="R225" s="711">
        <f t="shared" si="24"/>
        <v>2147.0904</v>
      </c>
      <c r="S225" s="711">
        <f t="shared" si="25"/>
        <v>4909.1224</v>
      </c>
    </row>
    <row r="226" spans="1:19" s="731" customFormat="1" ht="15" customHeight="1">
      <c r="A226" s="784"/>
      <c r="B226" s="784"/>
      <c r="C226" s="848"/>
      <c r="D226" s="581">
        <v>1</v>
      </c>
      <c r="E226" s="581">
        <v>1</v>
      </c>
      <c r="F226" s="719"/>
      <c r="G226" s="580">
        <v>1</v>
      </c>
      <c r="H226" s="719"/>
      <c r="I226" s="580" t="s">
        <v>212</v>
      </c>
      <c r="J226" s="584" t="s">
        <v>212</v>
      </c>
      <c r="K226" s="581">
        <v>1992</v>
      </c>
      <c r="L226" s="646" t="s">
        <v>53</v>
      </c>
      <c r="M226" s="646">
        <v>197</v>
      </c>
      <c r="N226" s="730">
        <v>20.384</v>
      </c>
      <c r="O226" s="586">
        <f t="shared" si="23"/>
        <v>4015.648</v>
      </c>
      <c r="P226" s="646">
        <v>0</v>
      </c>
      <c r="Q226" s="730">
        <v>23.73</v>
      </c>
      <c r="R226" s="711">
        <f t="shared" si="24"/>
        <v>0</v>
      </c>
      <c r="S226" s="711">
        <f t="shared" si="25"/>
        <v>4015.648</v>
      </c>
    </row>
    <row r="227" spans="1:19" s="731" customFormat="1" ht="15" customHeight="1">
      <c r="A227" s="784"/>
      <c r="B227" s="850"/>
      <c r="C227" s="848"/>
      <c r="D227" s="581">
        <v>1</v>
      </c>
      <c r="E227" s="580"/>
      <c r="F227" s="580">
        <v>1</v>
      </c>
      <c r="G227" s="580">
        <v>1</v>
      </c>
      <c r="H227" s="719"/>
      <c r="I227" s="580" t="s">
        <v>212</v>
      </c>
      <c r="J227" s="584" t="s">
        <v>212</v>
      </c>
      <c r="K227" s="581">
        <v>2004</v>
      </c>
      <c r="L227" s="580" t="s">
        <v>276</v>
      </c>
      <c r="M227" s="646">
        <v>295.5</v>
      </c>
      <c r="N227" s="730">
        <v>20.384</v>
      </c>
      <c r="O227" s="586">
        <f t="shared" si="23"/>
        <v>6023.472</v>
      </c>
      <c r="P227" s="646">
        <v>113.48</v>
      </c>
      <c r="Q227" s="730">
        <v>23.73</v>
      </c>
      <c r="R227" s="711">
        <f t="shared" si="24"/>
        <v>2692.8804</v>
      </c>
      <c r="S227" s="711">
        <f t="shared" si="25"/>
        <v>8716.3524</v>
      </c>
    </row>
    <row r="228" spans="1:19" s="731" customFormat="1" ht="15" customHeight="1">
      <c r="A228" s="784"/>
      <c r="B228" s="850"/>
      <c r="C228" s="848"/>
      <c r="D228" s="581">
        <v>1</v>
      </c>
      <c r="E228" s="580"/>
      <c r="F228" s="580">
        <v>1</v>
      </c>
      <c r="G228" s="581">
        <v>1</v>
      </c>
      <c r="H228" s="584"/>
      <c r="I228" s="581" t="s">
        <v>212</v>
      </c>
      <c r="J228" s="584" t="s">
        <v>374</v>
      </c>
      <c r="K228" s="581">
        <v>2001</v>
      </c>
      <c r="L228" s="580" t="s">
        <v>276</v>
      </c>
      <c r="M228" s="646">
        <v>311</v>
      </c>
      <c r="N228" s="730">
        <v>20.384</v>
      </c>
      <c r="O228" s="586">
        <f t="shared" si="23"/>
        <v>6339.424</v>
      </c>
      <c r="P228" s="646">
        <v>227.96</v>
      </c>
      <c r="Q228" s="730">
        <v>23.73</v>
      </c>
      <c r="R228" s="711">
        <f t="shared" si="24"/>
        <v>5409.4908000000005</v>
      </c>
      <c r="S228" s="711">
        <f t="shared" si="25"/>
        <v>11748.9148</v>
      </c>
    </row>
    <row r="229" spans="1:19" s="731" customFormat="1" ht="15" customHeight="1">
      <c r="A229" s="784"/>
      <c r="B229" s="850"/>
      <c r="C229" s="848"/>
      <c r="D229" s="581">
        <v>1</v>
      </c>
      <c r="E229" s="580">
        <v>1</v>
      </c>
      <c r="F229" s="580"/>
      <c r="G229" s="581"/>
      <c r="H229" s="584">
        <v>1</v>
      </c>
      <c r="I229" s="581" t="s">
        <v>212</v>
      </c>
      <c r="J229" s="584" t="s">
        <v>427</v>
      </c>
      <c r="K229" s="581">
        <v>1998</v>
      </c>
      <c r="L229" s="646" t="s">
        <v>366</v>
      </c>
      <c r="M229" s="646">
        <v>130.5</v>
      </c>
      <c r="N229" s="730">
        <v>20.384</v>
      </c>
      <c r="O229" s="586">
        <f t="shared" si="23"/>
        <v>2660.112</v>
      </c>
      <c r="P229" s="646">
        <v>0</v>
      </c>
      <c r="Q229" s="730">
        <v>23.73</v>
      </c>
      <c r="R229" s="711">
        <f t="shared" si="24"/>
        <v>0</v>
      </c>
      <c r="S229" s="711">
        <f t="shared" si="25"/>
        <v>2660.112</v>
      </c>
    </row>
    <row r="230" spans="1:19" s="731" customFormat="1" ht="15" customHeight="1">
      <c r="A230" s="784"/>
      <c r="B230" s="850"/>
      <c r="C230" s="848"/>
      <c r="D230" s="581">
        <v>1</v>
      </c>
      <c r="E230" s="580">
        <v>1</v>
      </c>
      <c r="F230" s="719"/>
      <c r="G230" s="719"/>
      <c r="H230" s="584">
        <v>1</v>
      </c>
      <c r="I230" s="581" t="s">
        <v>212</v>
      </c>
      <c r="J230" s="584" t="s">
        <v>427</v>
      </c>
      <c r="K230" s="581">
        <v>2001</v>
      </c>
      <c r="L230" s="580" t="s">
        <v>288</v>
      </c>
      <c r="M230" s="646">
        <v>135.5</v>
      </c>
      <c r="N230" s="730">
        <v>20.384</v>
      </c>
      <c r="O230" s="586">
        <f t="shared" si="23"/>
        <v>2762.032</v>
      </c>
      <c r="P230" s="646">
        <v>89.48</v>
      </c>
      <c r="Q230" s="730">
        <v>23.73</v>
      </c>
      <c r="R230" s="711">
        <f t="shared" si="24"/>
        <v>2123.3604</v>
      </c>
      <c r="S230" s="711">
        <f t="shared" si="25"/>
        <v>4885.392400000001</v>
      </c>
    </row>
    <row r="231" spans="1:19" s="731" customFormat="1" ht="15" customHeight="1">
      <c r="A231" s="784"/>
      <c r="B231" s="850"/>
      <c r="C231" s="848"/>
      <c r="D231" s="581">
        <v>1</v>
      </c>
      <c r="E231" s="580">
        <v>1</v>
      </c>
      <c r="F231" s="719"/>
      <c r="G231" s="580">
        <v>1</v>
      </c>
      <c r="H231" s="719"/>
      <c r="I231" s="581" t="s">
        <v>212</v>
      </c>
      <c r="J231" s="584" t="s">
        <v>110</v>
      </c>
      <c r="K231" s="581">
        <v>1998</v>
      </c>
      <c r="L231" s="646" t="s">
        <v>366</v>
      </c>
      <c r="M231" s="646">
        <v>127</v>
      </c>
      <c r="N231" s="730">
        <v>20.384</v>
      </c>
      <c r="O231" s="586">
        <f t="shared" si="23"/>
        <v>2588.768</v>
      </c>
      <c r="P231" s="646">
        <v>0</v>
      </c>
      <c r="Q231" s="730">
        <v>23.73</v>
      </c>
      <c r="R231" s="711">
        <f t="shared" si="24"/>
        <v>0</v>
      </c>
      <c r="S231" s="711">
        <f t="shared" si="25"/>
        <v>2588.768</v>
      </c>
    </row>
    <row r="232" spans="1:19" s="731" customFormat="1" ht="15" customHeight="1">
      <c r="A232" s="784"/>
      <c r="B232" s="784"/>
      <c r="C232" s="851"/>
      <c r="D232" s="581">
        <v>1</v>
      </c>
      <c r="E232" s="581">
        <v>1</v>
      </c>
      <c r="F232" s="719"/>
      <c r="G232" s="580">
        <v>1</v>
      </c>
      <c r="H232" s="719"/>
      <c r="I232" s="580" t="s">
        <v>212</v>
      </c>
      <c r="J232" s="584" t="s">
        <v>212</v>
      </c>
      <c r="K232" s="580">
        <v>2000</v>
      </c>
      <c r="L232" s="580" t="s">
        <v>276</v>
      </c>
      <c r="M232" s="646">
        <v>124</v>
      </c>
      <c r="N232" s="730">
        <v>20.384</v>
      </c>
      <c r="O232" s="586">
        <f t="shared" si="23"/>
        <v>2527.616</v>
      </c>
      <c r="P232" s="646">
        <v>89.86</v>
      </c>
      <c r="Q232" s="730">
        <v>23.73</v>
      </c>
      <c r="R232" s="711">
        <f t="shared" si="24"/>
        <v>2132.3778</v>
      </c>
      <c r="S232" s="711">
        <f t="shared" si="25"/>
        <v>4659.9938</v>
      </c>
    </row>
    <row r="233" spans="1:19" s="731" customFormat="1" ht="15" customHeight="1">
      <c r="A233" s="784"/>
      <c r="B233" s="850"/>
      <c r="C233" s="851"/>
      <c r="D233" s="581">
        <v>1</v>
      </c>
      <c r="E233" s="719"/>
      <c r="F233" s="580">
        <v>1</v>
      </c>
      <c r="G233" s="719"/>
      <c r="H233" s="580">
        <v>1</v>
      </c>
      <c r="I233" s="580" t="s">
        <v>212</v>
      </c>
      <c r="J233" s="719" t="s">
        <v>18</v>
      </c>
      <c r="K233" s="580">
        <v>2003</v>
      </c>
      <c r="L233" s="580" t="s">
        <v>276</v>
      </c>
      <c r="M233" s="646">
        <v>226</v>
      </c>
      <c r="N233" s="730">
        <v>20.384</v>
      </c>
      <c r="O233" s="586">
        <f t="shared" si="23"/>
        <v>4606.784</v>
      </c>
      <c r="P233" s="646">
        <v>169.98</v>
      </c>
      <c r="Q233" s="730">
        <v>23.73</v>
      </c>
      <c r="R233" s="711">
        <f t="shared" si="24"/>
        <v>4033.6254</v>
      </c>
      <c r="S233" s="711">
        <f t="shared" si="25"/>
        <v>8640.4094</v>
      </c>
    </row>
    <row r="234" spans="1:19" s="731" customFormat="1" ht="15" customHeight="1">
      <c r="A234" s="784"/>
      <c r="B234" s="784"/>
      <c r="C234" s="851"/>
      <c r="D234" s="580">
        <v>1</v>
      </c>
      <c r="E234" s="580">
        <v>1</v>
      </c>
      <c r="F234" s="580"/>
      <c r="G234" s="580">
        <v>1</v>
      </c>
      <c r="H234" s="719"/>
      <c r="I234" s="580" t="s">
        <v>212</v>
      </c>
      <c r="J234" s="584" t="s">
        <v>375</v>
      </c>
      <c r="K234" s="580">
        <v>2002</v>
      </c>
      <c r="L234" s="580" t="s">
        <v>276</v>
      </c>
      <c r="M234" s="646">
        <v>133</v>
      </c>
      <c r="N234" s="730">
        <v>20.384</v>
      </c>
      <c r="O234" s="586">
        <f t="shared" si="23"/>
        <v>2711.072</v>
      </c>
      <c r="P234" s="646">
        <v>83.48</v>
      </c>
      <c r="Q234" s="730">
        <v>23.73</v>
      </c>
      <c r="R234" s="711">
        <f t="shared" si="24"/>
        <v>1980.9804000000001</v>
      </c>
      <c r="S234" s="711">
        <f t="shared" si="25"/>
        <v>4692.0524000000005</v>
      </c>
    </row>
    <row r="235" spans="1:19" s="731" customFormat="1" ht="15" customHeight="1">
      <c r="A235" s="784"/>
      <c r="B235" s="850"/>
      <c r="C235" s="848"/>
      <c r="D235" s="580">
        <v>1</v>
      </c>
      <c r="E235" s="719"/>
      <c r="F235" s="580">
        <v>1</v>
      </c>
      <c r="G235" s="580">
        <v>1</v>
      </c>
      <c r="H235" s="719"/>
      <c r="I235" s="580" t="s">
        <v>212</v>
      </c>
      <c r="J235" s="584" t="s">
        <v>212</v>
      </c>
      <c r="K235" s="580">
        <v>1997</v>
      </c>
      <c r="L235" s="580" t="s">
        <v>276</v>
      </c>
      <c r="M235" s="646">
        <v>115.5</v>
      </c>
      <c r="N235" s="730">
        <v>20.384</v>
      </c>
      <c r="O235" s="586">
        <f t="shared" si="23"/>
        <v>2354.352</v>
      </c>
      <c r="P235" s="646">
        <v>88.98</v>
      </c>
      <c r="Q235" s="730">
        <v>23.73</v>
      </c>
      <c r="R235" s="711">
        <f t="shared" si="24"/>
        <v>2111.4954000000002</v>
      </c>
      <c r="S235" s="711">
        <f t="shared" si="25"/>
        <v>4465.847400000001</v>
      </c>
    </row>
    <row r="236" spans="1:19" s="731" customFormat="1" ht="15" customHeight="1">
      <c r="A236" s="784"/>
      <c r="B236" s="784"/>
      <c r="C236" s="851"/>
      <c r="D236" s="580">
        <v>1</v>
      </c>
      <c r="E236" s="580">
        <v>1</v>
      </c>
      <c r="F236" s="580"/>
      <c r="G236" s="580">
        <v>1</v>
      </c>
      <c r="H236" s="719"/>
      <c r="I236" s="580" t="s">
        <v>212</v>
      </c>
      <c r="J236" s="584" t="s">
        <v>212</v>
      </c>
      <c r="K236" s="580">
        <v>2000</v>
      </c>
      <c r="L236" s="580" t="s">
        <v>276</v>
      </c>
      <c r="M236" s="646">
        <v>116.25</v>
      </c>
      <c r="N236" s="730">
        <v>20.384</v>
      </c>
      <c r="O236" s="586">
        <f t="shared" si="23"/>
        <v>2369.64</v>
      </c>
      <c r="P236" s="646">
        <v>79.98</v>
      </c>
      <c r="Q236" s="730">
        <v>23.73</v>
      </c>
      <c r="R236" s="711">
        <f t="shared" si="24"/>
        <v>1897.9254</v>
      </c>
      <c r="S236" s="711">
        <f t="shared" si="25"/>
        <v>4267.5653999999995</v>
      </c>
    </row>
    <row r="237" spans="1:19" s="731" customFormat="1" ht="15" customHeight="1">
      <c r="A237" s="784"/>
      <c r="B237" s="784"/>
      <c r="C237" s="851"/>
      <c r="D237" s="580">
        <v>1</v>
      </c>
      <c r="E237" s="580">
        <v>1</v>
      </c>
      <c r="F237" s="580"/>
      <c r="G237" s="580">
        <v>1</v>
      </c>
      <c r="H237" s="719"/>
      <c r="I237" s="580" t="s">
        <v>212</v>
      </c>
      <c r="J237" s="584" t="s">
        <v>212</v>
      </c>
      <c r="K237" s="580">
        <v>1999</v>
      </c>
      <c r="L237" s="580" t="s">
        <v>276</v>
      </c>
      <c r="M237" s="646">
        <v>130.5</v>
      </c>
      <c r="N237" s="730">
        <v>20.384</v>
      </c>
      <c r="O237" s="586">
        <f t="shared" si="23"/>
        <v>2660.112</v>
      </c>
      <c r="P237" s="646">
        <v>75.48</v>
      </c>
      <c r="Q237" s="730">
        <v>23.73</v>
      </c>
      <c r="R237" s="711">
        <f t="shared" si="24"/>
        <v>1791.1404000000002</v>
      </c>
      <c r="S237" s="711">
        <f t="shared" si="25"/>
        <v>4451.2524</v>
      </c>
    </row>
    <row r="238" spans="1:19" s="731" customFormat="1" ht="15" customHeight="1">
      <c r="A238" s="784"/>
      <c r="B238" s="784"/>
      <c r="C238" s="851"/>
      <c r="D238" s="580">
        <v>1</v>
      </c>
      <c r="E238" s="580">
        <v>1</v>
      </c>
      <c r="F238" s="719"/>
      <c r="G238" s="580">
        <v>1</v>
      </c>
      <c r="H238" s="719"/>
      <c r="I238" s="580" t="s">
        <v>212</v>
      </c>
      <c r="J238" s="584" t="s">
        <v>212</v>
      </c>
      <c r="K238" s="580">
        <v>1995</v>
      </c>
      <c r="L238" s="580" t="s">
        <v>276</v>
      </c>
      <c r="M238" s="646">
        <v>198.67</v>
      </c>
      <c r="N238" s="730">
        <v>20.384</v>
      </c>
      <c r="O238" s="586">
        <f t="shared" si="23"/>
        <v>4049.6892799999996</v>
      </c>
      <c r="P238" s="646">
        <v>126.48</v>
      </c>
      <c r="Q238" s="730">
        <v>23.73</v>
      </c>
      <c r="R238" s="711">
        <f t="shared" si="24"/>
        <v>3001.3704000000002</v>
      </c>
      <c r="S238" s="711">
        <f t="shared" si="25"/>
        <v>7051.05968</v>
      </c>
    </row>
    <row r="239" spans="1:19" s="731" customFormat="1" ht="15" customHeight="1">
      <c r="A239" s="784"/>
      <c r="B239" s="784"/>
      <c r="C239" s="851"/>
      <c r="D239" s="580">
        <v>1</v>
      </c>
      <c r="E239" s="580"/>
      <c r="F239" s="580">
        <v>1</v>
      </c>
      <c r="G239" s="580"/>
      <c r="H239" s="580">
        <v>1</v>
      </c>
      <c r="I239" s="580" t="s">
        <v>212</v>
      </c>
      <c r="J239" s="584" t="s">
        <v>327</v>
      </c>
      <c r="K239" s="580">
        <v>2009</v>
      </c>
      <c r="L239" s="580" t="s">
        <v>288</v>
      </c>
      <c r="M239" s="646">
        <v>142</v>
      </c>
      <c r="N239" s="730">
        <v>20.384</v>
      </c>
      <c r="O239" s="586">
        <f t="shared" si="23"/>
        <v>2894.5280000000002</v>
      </c>
      <c r="P239" s="646">
        <v>87.48</v>
      </c>
      <c r="Q239" s="730">
        <v>23.73</v>
      </c>
      <c r="R239" s="711">
        <f t="shared" si="24"/>
        <v>2075.9004</v>
      </c>
      <c r="S239" s="711">
        <f t="shared" si="25"/>
        <v>4970.428400000001</v>
      </c>
    </row>
    <row r="240" spans="1:19" s="731" customFormat="1" ht="15" customHeight="1">
      <c r="A240" s="784"/>
      <c r="B240" s="784"/>
      <c r="C240" s="851"/>
      <c r="D240" s="580">
        <v>1</v>
      </c>
      <c r="E240" s="580">
        <v>1</v>
      </c>
      <c r="F240" s="719"/>
      <c r="G240" s="580">
        <v>1</v>
      </c>
      <c r="H240" s="719"/>
      <c r="I240" s="580" t="s">
        <v>212</v>
      </c>
      <c r="J240" s="584" t="s">
        <v>212</v>
      </c>
      <c r="K240" s="580">
        <v>2005</v>
      </c>
      <c r="L240" s="580" t="s">
        <v>288</v>
      </c>
      <c r="M240" s="646">
        <v>134.83</v>
      </c>
      <c r="N240" s="730">
        <v>20.384</v>
      </c>
      <c r="O240" s="586">
        <f t="shared" si="23"/>
        <v>2748.3747200000003</v>
      </c>
      <c r="P240" s="646">
        <v>89.48</v>
      </c>
      <c r="Q240" s="730">
        <v>23.73</v>
      </c>
      <c r="R240" s="711">
        <f t="shared" si="24"/>
        <v>2123.3604</v>
      </c>
      <c r="S240" s="711">
        <f t="shared" si="25"/>
        <v>4871.73512</v>
      </c>
    </row>
    <row r="241" spans="1:19" s="731" customFormat="1" ht="15" customHeight="1">
      <c r="A241" s="784"/>
      <c r="B241" s="784"/>
      <c r="C241" s="851"/>
      <c r="D241" s="580">
        <v>1</v>
      </c>
      <c r="E241" s="580">
        <v>1</v>
      </c>
      <c r="F241" s="580"/>
      <c r="G241" s="580">
        <v>1</v>
      </c>
      <c r="H241" s="719"/>
      <c r="I241" s="580" t="s">
        <v>212</v>
      </c>
      <c r="J241" s="584" t="s">
        <v>212</v>
      </c>
      <c r="K241" s="580">
        <v>2000</v>
      </c>
      <c r="L241" s="580" t="s">
        <v>288</v>
      </c>
      <c r="M241" s="646">
        <v>135.5</v>
      </c>
      <c r="N241" s="730">
        <v>20.384</v>
      </c>
      <c r="O241" s="586">
        <f t="shared" si="23"/>
        <v>2762.032</v>
      </c>
      <c r="P241" s="646">
        <v>89.48</v>
      </c>
      <c r="Q241" s="730">
        <v>23.73</v>
      </c>
      <c r="R241" s="711">
        <f t="shared" si="24"/>
        <v>2123.3604</v>
      </c>
      <c r="S241" s="711">
        <f t="shared" si="25"/>
        <v>4885.392400000001</v>
      </c>
    </row>
    <row r="242" spans="1:19" s="731" customFormat="1" ht="15" customHeight="1">
      <c r="A242" s="784"/>
      <c r="B242" s="784"/>
      <c r="C242" s="851"/>
      <c r="D242" s="580">
        <v>1</v>
      </c>
      <c r="E242" s="580">
        <v>1</v>
      </c>
      <c r="F242" s="580"/>
      <c r="G242" s="580">
        <v>1</v>
      </c>
      <c r="H242" s="719"/>
      <c r="I242" s="580" t="s">
        <v>212</v>
      </c>
      <c r="J242" s="584" t="s">
        <v>212</v>
      </c>
      <c r="K242" s="580">
        <v>1997</v>
      </c>
      <c r="L242" s="646" t="s">
        <v>53</v>
      </c>
      <c r="M242" s="646">
        <v>115</v>
      </c>
      <c r="N242" s="730">
        <v>20.384</v>
      </c>
      <c r="O242" s="586">
        <f t="shared" si="23"/>
        <v>2344.16</v>
      </c>
      <c r="P242" s="646">
        <v>0</v>
      </c>
      <c r="Q242" s="730">
        <v>23.73</v>
      </c>
      <c r="R242" s="711">
        <f t="shared" si="24"/>
        <v>0</v>
      </c>
      <c r="S242" s="711">
        <f t="shared" si="25"/>
        <v>2344.16</v>
      </c>
    </row>
    <row r="243" spans="1:19" s="744" customFormat="1" ht="15" customHeight="1">
      <c r="A243" s="784"/>
      <c r="B243" s="784"/>
      <c r="C243" s="848"/>
      <c r="D243" s="580">
        <v>1</v>
      </c>
      <c r="E243" s="580">
        <v>1</v>
      </c>
      <c r="F243" s="719"/>
      <c r="G243" s="580">
        <v>1</v>
      </c>
      <c r="H243" s="719"/>
      <c r="I243" s="580" t="s">
        <v>212</v>
      </c>
      <c r="J243" s="584" t="s">
        <v>212</v>
      </c>
      <c r="K243" s="580">
        <v>1998</v>
      </c>
      <c r="L243" s="580" t="s">
        <v>276</v>
      </c>
      <c r="M243" s="646">
        <v>161</v>
      </c>
      <c r="N243" s="730">
        <v>20.384</v>
      </c>
      <c r="O243" s="586">
        <f t="shared" si="23"/>
        <v>3281.824</v>
      </c>
      <c r="P243" s="646">
        <v>107.98</v>
      </c>
      <c r="Q243" s="730">
        <v>23.73</v>
      </c>
      <c r="R243" s="711">
        <f t="shared" si="24"/>
        <v>2562.3654</v>
      </c>
      <c r="S243" s="711">
        <f t="shared" si="25"/>
        <v>5844.1894</v>
      </c>
    </row>
    <row r="244" spans="1:19" s="744" customFormat="1" ht="15" customHeight="1">
      <c r="A244" s="784"/>
      <c r="B244" s="784"/>
      <c r="C244" s="848"/>
      <c r="D244" s="580">
        <v>1</v>
      </c>
      <c r="E244" s="580">
        <v>1</v>
      </c>
      <c r="F244" s="719"/>
      <c r="G244" s="580">
        <v>1</v>
      </c>
      <c r="H244" s="719"/>
      <c r="I244" s="580" t="s">
        <v>212</v>
      </c>
      <c r="J244" s="584" t="s">
        <v>212</v>
      </c>
      <c r="K244" s="580">
        <v>2006</v>
      </c>
      <c r="L244" s="580" t="s">
        <v>276</v>
      </c>
      <c r="M244" s="646">
        <v>363.5</v>
      </c>
      <c r="N244" s="730">
        <v>20.384</v>
      </c>
      <c r="O244" s="586">
        <f t="shared" si="23"/>
        <v>7409.584</v>
      </c>
      <c r="P244" s="646">
        <v>219.09</v>
      </c>
      <c r="Q244" s="730">
        <v>23.73</v>
      </c>
      <c r="R244" s="711">
        <f t="shared" si="24"/>
        <v>5199.005700000001</v>
      </c>
      <c r="S244" s="711">
        <f t="shared" si="25"/>
        <v>12608.5897</v>
      </c>
    </row>
    <row r="245" spans="1:19" s="731" customFormat="1" ht="15" customHeight="1">
      <c r="A245" s="1145" t="s">
        <v>483</v>
      </c>
      <c r="B245" s="1146"/>
      <c r="C245" s="578"/>
      <c r="D245" s="719"/>
      <c r="E245" s="719"/>
      <c r="F245" s="719"/>
      <c r="G245" s="719"/>
      <c r="H245" s="719"/>
      <c r="I245" s="750"/>
      <c r="J245" s="719"/>
      <c r="K245" s="719"/>
      <c r="L245" s="580" t="s">
        <v>276</v>
      </c>
      <c r="M245" s="646">
        <v>111</v>
      </c>
      <c r="N245" s="730">
        <v>20.384</v>
      </c>
      <c r="O245" s="586">
        <f t="shared" si="23"/>
        <v>2262.6240000000003</v>
      </c>
      <c r="P245" s="646">
        <v>78</v>
      </c>
      <c r="Q245" s="730">
        <v>23.73</v>
      </c>
      <c r="R245" s="711">
        <f t="shared" si="24"/>
        <v>1850.94</v>
      </c>
      <c r="S245" s="711">
        <f t="shared" si="25"/>
        <v>4113.564</v>
      </c>
    </row>
    <row r="246" spans="1:19" s="731" customFormat="1" ht="15" customHeight="1">
      <c r="A246" s="1145" t="s">
        <v>175</v>
      </c>
      <c r="B246" s="1146"/>
      <c r="C246" s="578"/>
      <c r="D246" s="719"/>
      <c r="E246" s="719"/>
      <c r="F246" s="719"/>
      <c r="G246" s="719"/>
      <c r="H246" s="719"/>
      <c r="I246" s="750"/>
      <c r="J246" s="719"/>
      <c r="K246" s="719"/>
      <c r="L246" s="580" t="s">
        <v>275</v>
      </c>
      <c r="M246" s="646">
        <v>0</v>
      </c>
      <c r="N246" s="730">
        <v>20.384</v>
      </c>
      <c r="O246" s="586">
        <f t="shared" si="23"/>
        <v>0</v>
      </c>
      <c r="P246" s="646">
        <v>36.71</v>
      </c>
      <c r="Q246" s="730">
        <v>23.73</v>
      </c>
      <c r="R246" s="711">
        <f t="shared" si="24"/>
        <v>871.1283000000001</v>
      </c>
      <c r="S246" s="711">
        <f t="shared" si="25"/>
        <v>871.1283000000001</v>
      </c>
    </row>
    <row r="247" spans="1:19" s="731" customFormat="1" ht="15" customHeight="1">
      <c r="A247" s="1145" t="s">
        <v>346</v>
      </c>
      <c r="B247" s="1146"/>
      <c r="C247" s="578"/>
      <c r="D247" s="719"/>
      <c r="E247" s="719"/>
      <c r="F247" s="719"/>
      <c r="G247" s="719"/>
      <c r="H247" s="719"/>
      <c r="I247" s="750"/>
      <c r="J247" s="719"/>
      <c r="K247" s="719"/>
      <c r="L247" s="580" t="s">
        <v>276</v>
      </c>
      <c r="M247" s="646">
        <v>20.13</v>
      </c>
      <c r="N247" s="730">
        <v>20.38</v>
      </c>
      <c r="O247" s="586">
        <f t="shared" si="23"/>
        <v>410.2494</v>
      </c>
      <c r="P247" s="646">
        <v>0</v>
      </c>
      <c r="Q247" s="730">
        <v>23.73</v>
      </c>
      <c r="R247" s="711">
        <f t="shared" si="24"/>
        <v>0</v>
      </c>
      <c r="S247" s="711">
        <f t="shared" si="25"/>
        <v>410.2494</v>
      </c>
    </row>
    <row r="248" spans="1:19" s="731" customFormat="1" ht="15" customHeight="1">
      <c r="A248" s="1145" t="s">
        <v>519</v>
      </c>
      <c r="B248" s="1146"/>
      <c r="C248" s="578"/>
      <c r="D248" s="719"/>
      <c r="E248" s="719"/>
      <c r="F248" s="719"/>
      <c r="G248" s="719"/>
      <c r="H248" s="719"/>
      <c r="I248" s="750"/>
      <c r="J248" s="719"/>
      <c r="K248" s="719"/>
      <c r="L248" s="646"/>
      <c r="M248" s="646"/>
      <c r="N248" s="730"/>
      <c r="O248" s="586"/>
      <c r="P248" s="646"/>
      <c r="Q248" s="730"/>
      <c r="R248" s="753"/>
      <c r="S248" s="711">
        <v>46.8</v>
      </c>
    </row>
    <row r="249" spans="1:19" s="731" customFormat="1" ht="15" customHeight="1">
      <c r="A249" s="1147" t="s">
        <v>80</v>
      </c>
      <c r="B249" s="1148"/>
      <c r="C249" s="578"/>
      <c r="D249" s="719"/>
      <c r="E249" s="719"/>
      <c r="F249" s="719"/>
      <c r="G249" s="719"/>
      <c r="H249" s="719"/>
      <c r="I249" s="750"/>
      <c r="J249" s="719"/>
      <c r="K249" s="719"/>
      <c r="L249" s="646"/>
      <c r="M249" s="646"/>
      <c r="N249" s="730"/>
      <c r="O249" s="755"/>
      <c r="P249" s="646"/>
      <c r="Q249" s="730"/>
      <c r="R249" s="753"/>
      <c r="S249" s="586">
        <f>3872.92-244.61</f>
        <v>3628.31</v>
      </c>
    </row>
    <row r="250" spans="1:19" s="731" customFormat="1" ht="15" customHeight="1">
      <c r="A250" s="1147" t="s">
        <v>51</v>
      </c>
      <c r="B250" s="1148"/>
      <c r="C250" s="578"/>
      <c r="D250" s="719"/>
      <c r="E250" s="719"/>
      <c r="F250" s="719"/>
      <c r="G250" s="719"/>
      <c r="H250" s="719"/>
      <c r="I250" s="750"/>
      <c r="J250" s="719"/>
      <c r="K250" s="719"/>
      <c r="L250" s="646"/>
      <c r="M250" s="646"/>
      <c r="N250" s="730"/>
      <c r="O250" s="755"/>
      <c r="P250" s="646"/>
      <c r="Q250" s="730"/>
      <c r="R250" s="753"/>
      <c r="S250" s="711">
        <f>63634.92-55873.23</f>
        <v>7761.689999999995</v>
      </c>
    </row>
    <row r="251" spans="1:19" s="699" customFormat="1" ht="15" customHeight="1">
      <c r="A251" s="1138" t="s">
        <v>13</v>
      </c>
      <c r="B251" s="1138"/>
      <c r="C251" s="553"/>
      <c r="D251" s="547">
        <f>SUM(D221:D250)</f>
        <v>24</v>
      </c>
      <c r="E251" s="547">
        <f>SUM(E221:E250)</f>
        <v>17</v>
      </c>
      <c r="F251" s="547">
        <f>SUM(F221:F250)</f>
        <v>7</v>
      </c>
      <c r="G251" s="547">
        <f>SUM(G221:G250)</f>
        <v>18</v>
      </c>
      <c r="H251" s="547">
        <f>SUM(H221:H250)</f>
        <v>6</v>
      </c>
      <c r="I251" s="751"/>
      <c r="J251" s="554"/>
      <c r="K251" s="554"/>
      <c r="L251" s="655"/>
      <c r="M251" s="655">
        <f>SUM(M221:M247)</f>
        <v>4043.88</v>
      </c>
      <c r="N251" s="554"/>
      <c r="O251" s="550">
        <f>SUM(O221:O247)</f>
        <v>82430.3694</v>
      </c>
      <c r="P251" s="655">
        <f>SUM(P221:P247)</f>
        <v>2354.5400000000004</v>
      </c>
      <c r="Q251" s="554"/>
      <c r="R251" s="752">
        <f>SUM(R221:R247)</f>
        <v>55873.234200000006</v>
      </c>
      <c r="S251" s="752">
        <f>SUM(S221:S250)</f>
        <v>149740.40360000002</v>
      </c>
    </row>
    <row r="252" spans="1:19" s="559" customFormat="1" ht="15" customHeight="1">
      <c r="A252" s="1140" t="s">
        <v>70</v>
      </c>
      <c r="B252" s="1140"/>
      <c r="C252" s="638"/>
      <c r="D252" s="707"/>
      <c r="E252" s="708"/>
      <c r="F252" s="708"/>
      <c r="G252" s="708"/>
      <c r="H252" s="708"/>
      <c r="I252" s="709"/>
      <c r="J252" s="708"/>
      <c r="K252" s="708"/>
      <c r="L252" s="661"/>
      <c r="M252" s="709"/>
      <c r="N252" s="754"/>
      <c r="O252" s="661"/>
      <c r="P252" s="661"/>
      <c r="Q252" s="754"/>
      <c r="R252" s="710"/>
      <c r="S252" s="710"/>
    </row>
    <row r="253" spans="1:19" s="559" customFormat="1" ht="57" customHeight="1">
      <c r="A253" s="511" t="s">
        <v>332</v>
      </c>
      <c r="B253" s="511" t="s">
        <v>333</v>
      </c>
      <c r="C253" s="511" t="s">
        <v>213</v>
      </c>
      <c r="D253" s="512" t="s">
        <v>36</v>
      </c>
      <c r="E253" s="512" t="s">
        <v>73</v>
      </c>
      <c r="F253" s="512" t="s">
        <v>74</v>
      </c>
      <c r="G253" s="512" t="s">
        <v>37</v>
      </c>
      <c r="H253" s="512" t="s">
        <v>38</v>
      </c>
      <c r="I253" s="512" t="s">
        <v>15</v>
      </c>
      <c r="J253" s="512" t="s">
        <v>214</v>
      </c>
      <c r="K253" s="512" t="s">
        <v>39</v>
      </c>
      <c r="L253" s="512" t="s">
        <v>84</v>
      </c>
      <c r="M253" s="634" t="s">
        <v>287</v>
      </c>
      <c r="N253" s="729" t="s">
        <v>40</v>
      </c>
      <c r="O253" s="634" t="s">
        <v>57</v>
      </c>
      <c r="P253" s="634" t="s">
        <v>514</v>
      </c>
      <c r="Q253" s="729" t="s">
        <v>40</v>
      </c>
      <c r="R253" s="634" t="s">
        <v>57</v>
      </c>
      <c r="S253" s="511" t="s">
        <v>58</v>
      </c>
    </row>
    <row r="254" spans="1:19" s="698" customFormat="1" ht="15" customHeight="1">
      <c r="A254" s="784"/>
      <c r="B254" s="850"/>
      <c r="C254" s="851"/>
      <c r="D254" s="580">
        <v>1</v>
      </c>
      <c r="E254" s="581">
        <v>1</v>
      </c>
      <c r="F254" s="706"/>
      <c r="G254" s="706">
        <v>1</v>
      </c>
      <c r="H254" s="581"/>
      <c r="I254" s="580" t="s">
        <v>212</v>
      </c>
      <c r="J254" s="584" t="s">
        <v>110</v>
      </c>
      <c r="K254" s="706">
        <v>2006</v>
      </c>
      <c r="L254" s="580" t="s">
        <v>276</v>
      </c>
      <c r="M254" s="646">
        <v>221.5</v>
      </c>
      <c r="N254" s="730">
        <v>20.384</v>
      </c>
      <c r="O254" s="586">
        <f aca="true" t="shared" si="26" ref="O254:O284">M254*N254</f>
        <v>4515.0560000000005</v>
      </c>
      <c r="P254" s="740">
        <v>166.22</v>
      </c>
      <c r="Q254" s="730">
        <v>23.73</v>
      </c>
      <c r="R254" s="586">
        <f aca="true" t="shared" si="27" ref="R254:R292">P254*Q254</f>
        <v>3944.4006</v>
      </c>
      <c r="S254" s="711">
        <f aca="true" t="shared" si="28" ref="S254:S266">O254+R254</f>
        <v>8459.456600000001</v>
      </c>
    </row>
    <row r="255" spans="1:19" s="698" customFormat="1" ht="15" customHeight="1">
      <c r="A255" s="784"/>
      <c r="B255" s="850"/>
      <c r="C255" s="856"/>
      <c r="D255" s="580">
        <v>1</v>
      </c>
      <c r="E255" s="719"/>
      <c r="F255" s="578">
        <v>1</v>
      </c>
      <c r="G255" s="578">
        <v>1</v>
      </c>
      <c r="H255" s="719"/>
      <c r="I255" s="719" t="s">
        <v>212</v>
      </c>
      <c r="J255" s="719" t="s">
        <v>212</v>
      </c>
      <c r="K255" s="578">
        <v>1999</v>
      </c>
      <c r="L255" s="580" t="s">
        <v>276</v>
      </c>
      <c r="M255" s="646">
        <v>199.25</v>
      </c>
      <c r="N255" s="730">
        <v>20.384</v>
      </c>
      <c r="O255" s="586">
        <f t="shared" si="26"/>
        <v>4061.512</v>
      </c>
      <c r="P255" s="740">
        <v>214.36</v>
      </c>
      <c r="Q255" s="730">
        <v>23.73</v>
      </c>
      <c r="R255" s="586">
        <f t="shared" si="27"/>
        <v>5086.7628</v>
      </c>
      <c r="S255" s="711">
        <f t="shared" si="28"/>
        <v>9148.274800000001</v>
      </c>
    </row>
    <row r="256" spans="1:19" s="698" customFormat="1" ht="15" customHeight="1">
      <c r="A256" s="784"/>
      <c r="B256" s="784"/>
      <c r="C256" s="851"/>
      <c r="D256" s="580">
        <v>1</v>
      </c>
      <c r="E256" s="719"/>
      <c r="F256" s="706">
        <v>1</v>
      </c>
      <c r="G256" s="706">
        <v>1</v>
      </c>
      <c r="H256" s="719"/>
      <c r="I256" s="580" t="s">
        <v>212</v>
      </c>
      <c r="J256" s="584" t="s">
        <v>112</v>
      </c>
      <c r="K256" s="706">
        <v>1998</v>
      </c>
      <c r="L256" s="580" t="s">
        <v>276</v>
      </c>
      <c r="M256" s="646">
        <v>215</v>
      </c>
      <c r="N256" s="730">
        <v>20.384</v>
      </c>
      <c r="O256" s="586">
        <f t="shared" si="26"/>
        <v>4382.56</v>
      </c>
      <c r="P256" s="740">
        <v>97.86</v>
      </c>
      <c r="Q256" s="730">
        <v>23.73</v>
      </c>
      <c r="R256" s="586">
        <f t="shared" si="27"/>
        <v>2322.2178</v>
      </c>
      <c r="S256" s="711">
        <f t="shared" si="28"/>
        <v>6704.7778</v>
      </c>
    </row>
    <row r="257" spans="1:19" s="698" customFormat="1" ht="15" customHeight="1">
      <c r="A257" s="784"/>
      <c r="B257" s="784"/>
      <c r="C257" s="851"/>
      <c r="D257" s="580">
        <v>1</v>
      </c>
      <c r="E257" s="580">
        <v>1</v>
      </c>
      <c r="F257" s="578"/>
      <c r="G257" s="578"/>
      <c r="H257" s="580">
        <v>1</v>
      </c>
      <c r="I257" s="580" t="s">
        <v>427</v>
      </c>
      <c r="J257" s="584" t="s">
        <v>427</v>
      </c>
      <c r="K257" s="712">
        <v>1998</v>
      </c>
      <c r="L257" s="580" t="s">
        <v>366</v>
      </c>
      <c r="M257" s="646">
        <v>364.08</v>
      </c>
      <c r="N257" s="730">
        <v>20.384</v>
      </c>
      <c r="O257" s="586">
        <f t="shared" si="26"/>
        <v>7421.40672</v>
      </c>
      <c r="P257" s="740">
        <v>0</v>
      </c>
      <c r="Q257" s="730">
        <v>23.73</v>
      </c>
      <c r="R257" s="586">
        <f t="shared" si="27"/>
        <v>0</v>
      </c>
      <c r="S257" s="711">
        <f t="shared" si="28"/>
        <v>7421.40672</v>
      </c>
    </row>
    <row r="258" spans="1:19" s="698" customFormat="1" ht="15" customHeight="1">
      <c r="A258" s="784"/>
      <c r="B258" s="850"/>
      <c r="C258" s="851"/>
      <c r="D258" s="580">
        <v>1</v>
      </c>
      <c r="E258" s="580">
        <v>1</v>
      </c>
      <c r="F258" s="578"/>
      <c r="G258" s="578">
        <v>1</v>
      </c>
      <c r="H258" s="580"/>
      <c r="I258" s="580" t="s">
        <v>212</v>
      </c>
      <c r="J258" s="580" t="s">
        <v>212</v>
      </c>
      <c r="K258" s="712">
        <v>1999</v>
      </c>
      <c r="L258" s="580" t="s">
        <v>276</v>
      </c>
      <c r="M258" s="646">
        <v>196.5</v>
      </c>
      <c r="N258" s="730">
        <v>20.384</v>
      </c>
      <c r="O258" s="586">
        <f t="shared" si="26"/>
        <v>4005.456</v>
      </c>
      <c r="P258" s="740">
        <v>111.48</v>
      </c>
      <c r="Q258" s="730">
        <v>23.73</v>
      </c>
      <c r="R258" s="586">
        <f t="shared" si="27"/>
        <v>2645.4204</v>
      </c>
      <c r="S258" s="711">
        <f t="shared" si="28"/>
        <v>6650.8764</v>
      </c>
    </row>
    <row r="259" spans="1:19" s="698" customFormat="1" ht="15" customHeight="1">
      <c r="A259" s="784"/>
      <c r="B259" s="850"/>
      <c r="C259" s="856"/>
      <c r="D259" s="580">
        <v>1</v>
      </c>
      <c r="E259" s="580">
        <v>1</v>
      </c>
      <c r="F259" s="578"/>
      <c r="G259" s="578">
        <v>1</v>
      </c>
      <c r="H259" s="719"/>
      <c r="I259" s="580" t="s">
        <v>212</v>
      </c>
      <c r="J259" s="580" t="s">
        <v>212</v>
      </c>
      <c r="K259" s="578">
        <v>2001</v>
      </c>
      <c r="L259" s="580" t="s">
        <v>276</v>
      </c>
      <c r="M259" s="646">
        <v>312</v>
      </c>
      <c r="N259" s="730">
        <v>20.384</v>
      </c>
      <c r="O259" s="586">
        <f t="shared" si="26"/>
        <v>6359.808</v>
      </c>
      <c r="P259" s="740">
        <v>213.36</v>
      </c>
      <c r="Q259" s="730">
        <v>23.73</v>
      </c>
      <c r="R259" s="586">
        <f t="shared" si="27"/>
        <v>5063.032800000001</v>
      </c>
      <c r="S259" s="711">
        <f t="shared" si="28"/>
        <v>11422.840800000002</v>
      </c>
    </row>
    <row r="260" spans="1:19" s="698" customFormat="1" ht="15" customHeight="1">
      <c r="A260" s="784"/>
      <c r="B260" s="850"/>
      <c r="C260" s="856"/>
      <c r="D260" s="580">
        <v>1</v>
      </c>
      <c r="E260" s="580">
        <v>1</v>
      </c>
      <c r="F260" s="578"/>
      <c r="G260" s="578">
        <v>1</v>
      </c>
      <c r="H260" s="719"/>
      <c r="I260" s="719" t="s">
        <v>212</v>
      </c>
      <c r="J260" s="719" t="s">
        <v>113</v>
      </c>
      <c r="K260" s="578">
        <v>1998</v>
      </c>
      <c r="L260" s="580" t="s">
        <v>276</v>
      </c>
      <c r="M260" s="646">
        <v>147</v>
      </c>
      <c r="N260" s="730">
        <v>20.384</v>
      </c>
      <c r="O260" s="586">
        <f t="shared" si="26"/>
        <v>2996.448</v>
      </c>
      <c r="P260" s="740">
        <v>66.36</v>
      </c>
      <c r="Q260" s="730">
        <v>23.73</v>
      </c>
      <c r="R260" s="586">
        <f t="shared" si="27"/>
        <v>1574.7228</v>
      </c>
      <c r="S260" s="711">
        <f t="shared" si="28"/>
        <v>4571.1708</v>
      </c>
    </row>
    <row r="261" spans="1:19" s="698" customFormat="1" ht="15" customHeight="1">
      <c r="A261" s="784"/>
      <c r="B261" s="850"/>
      <c r="C261" s="856"/>
      <c r="D261" s="580">
        <v>1</v>
      </c>
      <c r="E261" s="580">
        <v>1</v>
      </c>
      <c r="F261" s="578"/>
      <c r="G261" s="578">
        <v>1</v>
      </c>
      <c r="H261" s="719"/>
      <c r="I261" s="719" t="s">
        <v>212</v>
      </c>
      <c r="J261" s="719" t="s">
        <v>212</v>
      </c>
      <c r="K261" s="578">
        <v>2005</v>
      </c>
      <c r="L261" s="580" t="s">
        <v>276</v>
      </c>
      <c r="M261" s="646">
        <v>239.5</v>
      </c>
      <c r="N261" s="730">
        <v>20.384</v>
      </c>
      <c r="O261" s="586">
        <f t="shared" si="26"/>
        <v>4881.968</v>
      </c>
      <c r="P261" s="740">
        <v>166.48</v>
      </c>
      <c r="Q261" s="730">
        <v>23.73</v>
      </c>
      <c r="R261" s="586">
        <f t="shared" si="27"/>
        <v>3950.5703999999996</v>
      </c>
      <c r="S261" s="711">
        <f t="shared" si="28"/>
        <v>8832.5384</v>
      </c>
    </row>
    <row r="262" spans="1:20" s="698" customFormat="1" ht="15" customHeight="1">
      <c r="A262" s="784"/>
      <c r="B262" s="850"/>
      <c r="C262" s="851"/>
      <c r="D262" s="580">
        <v>1</v>
      </c>
      <c r="E262" s="580"/>
      <c r="F262" s="578">
        <v>1</v>
      </c>
      <c r="G262" s="578">
        <v>1</v>
      </c>
      <c r="H262" s="580"/>
      <c r="I262" s="580" t="s">
        <v>212</v>
      </c>
      <c r="J262" s="584" t="s">
        <v>212</v>
      </c>
      <c r="K262" s="712">
        <v>1992</v>
      </c>
      <c r="L262" s="580" t="s">
        <v>276</v>
      </c>
      <c r="M262" s="646">
        <v>132</v>
      </c>
      <c r="N262" s="730">
        <v>20.384</v>
      </c>
      <c r="O262" s="586">
        <f t="shared" si="26"/>
        <v>2690.688</v>
      </c>
      <c r="P262" s="740">
        <v>73.86</v>
      </c>
      <c r="Q262" s="730">
        <v>23.73</v>
      </c>
      <c r="R262" s="586">
        <f t="shared" si="27"/>
        <v>1752.6978</v>
      </c>
      <c r="S262" s="711">
        <f t="shared" si="28"/>
        <v>4443.3858</v>
      </c>
      <c r="T262" s="747"/>
    </row>
    <row r="263" spans="1:19" s="698" customFormat="1" ht="15" customHeight="1">
      <c r="A263" s="784"/>
      <c r="B263" s="850"/>
      <c r="C263" s="851"/>
      <c r="D263" s="580">
        <v>1</v>
      </c>
      <c r="E263" s="719"/>
      <c r="F263" s="578">
        <v>1</v>
      </c>
      <c r="G263" s="578">
        <v>1</v>
      </c>
      <c r="H263" s="719"/>
      <c r="I263" s="580" t="s">
        <v>212</v>
      </c>
      <c r="J263" s="584" t="s">
        <v>212</v>
      </c>
      <c r="K263" s="712">
        <v>1998</v>
      </c>
      <c r="L263" s="580" t="s">
        <v>276</v>
      </c>
      <c r="M263" s="646">
        <v>223</v>
      </c>
      <c r="N263" s="730">
        <v>20.384</v>
      </c>
      <c r="O263" s="586">
        <f t="shared" si="26"/>
        <v>4545.6320000000005</v>
      </c>
      <c r="P263" s="740">
        <v>143.48</v>
      </c>
      <c r="Q263" s="730">
        <v>23.73</v>
      </c>
      <c r="R263" s="586">
        <f t="shared" si="27"/>
        <v>3404.7803999999996</v>
      </c>
      <c r="S263" s="711">
        <f t="shared" si="28"/>
        <v>7950.4124</v>
      </c>
    </row>
    <row r="264" spans="1:19" s="698" customFormat="1" ht="15" customHeight="1">
      <c r="A264" s="784"/>
      <c r="B264" s="784"/>
      <c r="C264" s="851"/>
      <c r="D264" s="580">
        <v>1</v>
      </c>
      <c r="E264" s="580">
        <v>1</v>
      </c>
      <c r="F264" s="578"/>
      <c r="G264" s="578">
        <v>1</v>
      </c>
      <c r="H264" s="580"/>
      <c r="I264" s="580" t="s">
        <v>212</v>
      </c>
      <c r="J264" s="584" t="s">
        <v>212</v>
      </c>
      <c r="K264" s="706">
        <v>1993</v>
      </c>
      <c r="L264" s="580" t="s">
        <v>366</v>
      </c>
      <c r="M264" s="646">
        <v>264.75</v>
      </c>
      <c r="N264" s="730">
        <v>20.384</v>
      </c>
      <c r="O264" s="586">
        <f t="shared" si="26"/>
        <v>5396.664</v>
      </c>
      <c r="P264" s="740">
        <v>0</v>
      </c>
      <c r="Q264" s="730">
        <v>23.73</v>
      </c>
      <c r="R264" s="586">
        <f t="shared" si="27"/>
        <v>0</v>
      </c>
      <c r="S264" s="711">
        <f t="shared" si="28"/>
        <v>5396.664</v>
      </c>
    </row>
    <row r="265" spans="1:19" s="698" customFormat="1" ht="15" customHeight="1">
      <c r="A265" s="784"/>
      <c r="B265" s="850"/>
      <c r="C265" s="851"/>
      <c r="D265" s="580">
        <v>1</v>
      </c>
      <c r="E265" s="580">
        <v>1</v>
      </c>
      <c r="F265" s="578"/>
      <c r="G265" s="578">
        <v>1</v>
      </c>
      <c r="H265" s="580"/>
      <c r="I265" s="580" t="s">
        <v>212</v>
      </c>
      <c r="J265" s="584" t="s">
        <v>212</v>
      </c>
      <c r="K265" s="706">
        <v>2008</v>
      </c>
      <c r="L265" s="580" t="s">
        <v>276</v>
      </c>
      <c r="M265" s="646">
        <v>408.25</v>
      </c>
      <c r="N265" s="730">
        <v>20.384</v>
      </c>
      <c r="O265" s="586">
        <f t="shared" si="26"/>
        <v>8321.768</v>
      </c>
      <c r="P265" s="740">
        <v>234.36</v>
      </c>
      <c r="Q265" s="730">
        <v>23.73</v>
      </c>
      <c r="R265" s="586">
        <f t="shared" si="27"/>
        <v>5561.362800000001</v>
      </c>
      <c r="S265" s="711">
        <f t="shared" si="28"/>
        <v>13883.1308</v>
      </c>
    </row>
    <row r="266" spans="1:19" s="698" customFormat="1" ht="15" customHeight="1">
      <c r="A266" s="784"/>
      <c r="B266" s="850"/>
      <c r="C266" s="851"/>
      <c r="D266" s="580">
        <v>1</v>
      </c>
      <c r="E266" s="719"/>
      <c r="F266" s="578">
        <v>1</v>
      </c>
      <c r="G266" s="578">
        <v>1</v>
      </c>
      <c r="H266" s="748"/>
      <c r="I266" s="580" t="s">
        <v>212</v>
      </c>
      <c r="J266" s="584" t="s">
        <v>212</v>
      </c>
      <c r="K266" s="706">
        <v>2010</v>
      </c>
      <c r="L266" s="580" t="s">
        <v>276</v>
      </c>
      <c r="M266" s="646">
        <v>280</v>
      </c>
      <c r="N266" s="730">
        <v>20.384</v>
      </c>
      <c r="O266" s="586">
        <f t="shared" si="26"/>
        <v>5707.52</v>
      </c>
      <c r="P266" s="740">
        <v>190.86</v>
      </c>
      <c r="Q266" s="730">
        <v>23.73</v>
      </c>
      <c r="R266" s="586">
        <f t="shared" si="27"/>
        <v>4529.107800000001</v>
      </c>
      <c r="S266" s="711">
        <f t="shared" si="28"/>
        <v>10236.627800000002</v>
      </c>
    </row>
    <row r="267" spans="1:19" s="698" customFormat="1" ht="15" customHeight="1">
      <c r="A267" s="784"/>
      <c r="B267" s="850"/>
      <c r="C267" s="848"/>
      <c r="D267" s="580"/>
      <c r="E267" s="719"/>
      <c r="F267" s="719"/>
      <c r="G267" s="719"/>
      <c r="H267" s="719"/>
      <c r="I267" s="750"/>
      <c r="J267" s="719"/>
      <c r="K267" s="719">
        <f>J267*M267</f>
        <v>0</v>
      </c>
      <c r="L267" s="580" t="s">
        <v>276</v>
      </c>
      <c r="M267" s="646">
        <v>134</v>
      </c>
      <c r="N267" s="730">
        <v>20.384</v>
      </c>
      <c r="O267" s="586">
        <f t="shared" si="26"/>
        <v>2731.456</v>
      </c>
      <c r="P267" s="740">
        <v>85.48</v>
      </c>
      <c r="Q267" s="730">
        <v>23.73</v>
      </c>
      <c r="R267" s="586">
        <f t="shared" si="27"/>
        <v>2028.4404000000002</v>
      </c>
      <c r="S267" s="711">
        <f>O267+R267-2159.43</f>
        <v>2600.4664000000007</v>
      </c>
    </row>
    <row r="268" spans="1:19" s="698" customFormat="1" ht="15" customHeight="1">
      <c r="A268" s="784"/>
      <c r="B268" s="850"/>
      <c r="C268" s="851"/>
      <c r="D268" s="580">
        <v>1</v>
      </c>
      <c r="E268" s="580">
        <v>1</v>
      </c>
      <c r="F268" s="578"/>
      <c r="G268" s="578">
        <v>1</v>
      </c>
      <c r="H268" s="580"/>
      <c r="I268" s="580" t="s">
        <v>212</v>
      </c>
      <c r="J268" s="580" t="s">
        <v>212</v>
      </c>
      <c r="K268" s="712">
        <v>1995</v>
      </c>
      <c r="L268" s="580" t="s">
        <v>276</v>
      </c>
      <c r="M268" s="646">
        <v>284.5</v>
      </c>
      <c r="N268" s="730">
        <v>20.384</v>
      </c>
      <c r="O268" s="586">
        <f t="shared" si="26"/>
        <v>5799.2480000000005</v>
      </c>
      <c r="P268" s="740">
        <v>157.98</v>
      </c>
      <c r="Q268" s="730">
        <v>23.73</v>
      </c>
      <c r="R268" s="586">
        <f t="shared" si="27"/>
        <v>3748.8653999999997</v>
      </c>
      <c r="S268" s="711">
        <f aca="true" t="shared" si="29" ref="S268:S296">O268+R268</f>
        <v>9548.1134</v>
      </c>
    </row>
    <row r="269" spans="1:19" s="698" customFormat="1" ht="15" customHeight="1">
      <c r="A269" s="784"/>
      <c r="B269" s="850"/>
      <c r="C269" s="851"/>
      <c r="D269" s="580">
        <v>1</v>
      </c>
      <c r="E269" s="719"/>
      <c r="F269" s="578">
        <v>1</v>
      </c>
      <c r="G269" s="578">
        <v>1</v>
      </c>
      <c r="H269" s="719"/>
      <c r="I269" s="580" t="s">
        <v>212</v>
      </c>
      <c r="J269" s="580" t="s">
        <v>212</v>
      </c>
      <c r="K269" s="712">
        <v>2005</v>
      </c>
      <c r="L269" s="580" t="s">
        <v>276</v>
      </c>
      <c r="M269" s="646">
        <v>250</v>
      </c>
      <c r="N269" s="730">
        <v>20.384</v>
      </c>
      <c r="O269" s="586">
        <f t="shared" si="26"/>
        <v>5096</v>
      </c>
      <c r="P269" s="740">
        <v>168.48</v>
      </c>
      <c r="Q269" s="730">
        <v>23.73</v>
      </c>
      <c r="R269" s="586">
        <f t="shared" si="27"/>
        <v>3998.0303999999996</v>
      </c>
      <c r="S269" s="711">
        <f t="shared" si="29"/>
        <v>9094.0304</v>
      </c>
    </row>
    <row r="270" spans="1:19" s="698" customFormat="1" ht="15" customHeight="1">
      <c r="A270" s="784"/>
      <c r="B270" s="850"/>
      <c r="C270" s="851"/>
      <c r="D270" s="580">
        <v>1</v>
      </c>
      <c r="E270" s="580">
        <v>1</v>
      </c>
      <c r="F270" s="578"/>
      <c r="G270" s="578">
        <v>1</v>
      </c>
      <c r="H270" s="580"/>
      <c r="I270" s="580" t="s">
        <v>114</v>
      </c>
      <c r="J270" s="580" t="s">
        <v>212</v>
      </c>
      <c r="K270" s="712">
        <v>1995</v>
      </c>
      <c r="L270" s="580" t="s">
        <v>276</v>
      </c>
      <c r="M270" s="646">
        <v>315</v>
      </c>
      <c r="N270" s="730">
        <v>20.384</v>
      </c>
      <c r="O270" s="586">
        <f t="shared" si="26"/>
        <v>6420.96</v>
      </c>
      <c r="P270" s="740">
        <v>201.98</v>
      </c>
      <c r="Q270" s="730">
        <v>23.73</v>
      </c>
      <c r="R270" s="586">
        <f t="shared" si="27"/>
        <v>4792.9854</v>
      </c>
      <c r="S270" s="711">
        <f t="shared" si="29"/>
        <v>11213.9454</v>
      </c>
    </row>
    <row r="271" spans="1:19" s="698" customFormat="1" ht="15" customHeight="1">
      <c r="A271" s="784"/>
      <c r="B271" s="784"/>
      <c r="C271" s="851"/>
      <c r="D271" s="580">
        <v>1</v>
      </c>
      <c r="E271" s="580">
        <v>1</v>
      </c>
      <c r="F271" s="578"/>
      <c r="G271" s="578">
        <v>1</v>
      </c>
      <c r="H271" s="580"/>
      <c r="I271" s="580" t="s">
        <v>212</v>
      </c>
      <c r="J271" s="584" t="s">
        <v>115</v>
      </c>
      <c r="K271" s="712">
        <v>2002</v>
      </c>
      <c r="L271" s="580" t="s">
        <v>366</v>
      </c>
      <c r="M271" s="646">
        <v>232.5</v>
      </c>
      <c r="N271" s="730">
        <v>20.384</v>
      </c>
      <c r="O271" s="586">
        <f t="shared" si="26"/>
        <v>4739.28</v>
      </c>
      <c r="P271" s="740">
        <v>0</v>
      </c>
      <c r="Q271" s="730">
        <v>23.73</v>
      </c>
      <c r="R271" s="586">
        <f t="shared" si="27"/>
        <v>0</v>
      </c>
      <c r="S271" s="711">
        <f t="shared" si="29"/>
        <v>4739.28</v>
      </c>
    </row>
    <row r="272" spans="1:19" s="698" customFormat="1" ht="15" customHeight="1">
      <c r="A272" s="784"/>
      <c r="B272" s="784"/>
      <c r="C272" s="851"/>
      <c r="D272" s="580">
        <v>1</v>
      </c>
      <c r="E272" s="580"/>
      <c r="F272" s="578">
        <v>1</v>
      </c>
      <c r="G272" s="578">
        <v>1</v>
      </c>
      <c r="H272" s="580"/>
      <c r="I272" s="580" t="s">
        <v>212</v>
      </c>
      <c r="J272" s="580" t="s">
        <v>212</v>
      </c>
      <c r="K272" s="712">
        <v>1996</v>
      </c>
      <c r="L272" s="580" t="s">
        <v>53</v>
      </c>
      <c r="M272" s="646">
        <v>135.5</v>
      </c>
      <c r="N272" s="730">
        <v>20.384</v>
      </c>
      <c r="O272" s="586">
        <f t="shared" si="26"/>
        <v>2762.032</v>
      </c>
      <c r="P272" s="740">
        <v>0</v>
      </c>
      <c r="Q272" s="730">
        <v>23.73</v>
      </c>
      <c r="R272" s="586">
        <f t="shared" si="27"/>
        <v>0</v>
      </c>
      <c r="S272" s="711">
        <f t="shared" si="29"/>
        <v>2762.032</v>
      </c>
    </row>
    <row r="273" spans="1:19" s="698" customFormat="1" ht="15" customHeight="1">
      <c r="A273" s="784"/>
      <c r="B273" s="784"/>
      <c r="C273" s="851"/>
      <c r="D273" s="580">
        <v>1</v>
      </c>
      <c r="E273" s="580"/>
      <c r="F273" s="578">
        <v>1</v>
      </c>
      <c r="G273" s="578">
        <v>1</v>
      </c>
      <c r="H273" s="580"/>
      <c r="I273" s="580" t="s">
        <v>212</v>
      </c>
      <c r="J273" s="580" t="s">
        <v>212</v>
      </c>
      <c r="K273" s="712">
        <v>2005</v>
      </c>
      <c r="L273" s="740" t="s">
        <v>366</v>
      </c>
      <c r="M273" s="646">
        <v>431</v>
      </c>
      <c r="N273" s="730">
        <v>20.384</v>
      </c>
      <c r="O273" s="586">
        <f t="shared" si="26"/>
        <v>8785.504</v>
      </c>
      <c r="P273" s="740">
        <v>0</v>
      </c>
      <c r="Q273" s="730">
        <v>23.73</v>
      </c>
      <c r="R273" s="586">
        <f t="shared" si="27"/>
        <v>0</v>
      </c>
      <c r="S273" s="711">
        <f t="shared" si="29"/>
        <v>8785.504</v>
      </c>
    </row>
    <row r="274" spans="1:19" s="698" customFormat="1" ht="15" customHeight="1">
      <c r="A274" s="784"/>
      <c r="B274" s="784"/>
      <c r="C274" s="851"/>
      <c r="D274" s="580">
        <v>1</v>
      </c>
      <c r="E274" s="580"/>
      <c r="F274" s="578">
        <v>1</v>
      </c>
      <c r="G274" s="578">
        <v>1</v>
      </c>
      <c r="H274" s="580"/>
      <c r="I274" s="580" t="s">
        <v>212</v>
      </c>
      <c r="J274" s="580" t="s">
        <v>212</v>
      </c>
      <c r="K274" s="712">
        <v>1993</v>
      </c>
      <c r="L274" s="740" t="s">
        <v>366</v>
      </c>
      <c r="M274" s="646">
        <v>250.5</v>
      </c>
      <c r="N274" s="730">
        <v>20.384</v>
      </c>
      <c r="O274" s="586">
        <f t="shared" si="26"/>
        <v>5106.192</v>
      </c>
      <c r="P274" s="740">
        <v>0</v>
      </c>
      <c r="Q274" s="730">
        <v>23.73</v>
      </c>
      <c r="R274" s="586">
        <f t="shared" si="27"/>
        <v>0</v>
      </c>
      <c r="S274" s="711">
        <f t="shared" si="29"/>
        <v>5106.192</v>
      </c>
    </row>
    <row r="275" spans="1:19" s="698" customFormat="1" ht="15" customHeight="1">
      <c r="A275" s="784"/>
      <c r="B275" s="784"/>
      <c r="C275" s="851"/>
      <c r="D275" s="580">
        <v>1</v>
      </c>
      <c r="E275" s="580">
        <v>1</v>
      </c>
      <c r="F275" s="578"/>
      <c r="G275" s="578">
        <v>1</v>
      </c>
      <c r="H275" s="580"/>
      <c r="I275" s="580" t="s">
        <v>212</v>
      </c>
      <c r="J275" s="580" t="s">
        <v>212</v>
      </c>
      <c r="K275" s="712">
        <v>2007</v>
      </c>
      <c r="L275" s="580" t="s">
        <v>275</v>
      </c>
      <c r="M275" s="646">
        <v>0</v>
      </c>
      <c r="N275" s="730">
        <v>20.384</v>
      </c>
      <c r="O275" s="586">
        <f t="shared" si="26"/>
        <v>0</v>
      </c>
      <c r="P275" s="740">
        <v>141.36</v>
      </c>
      <c r="Q275" s="730">
        <v>23.73</v>
      </c>
      <c r="R275" s="586">
        <f t="shared" si="27"/>
        <v>3354.4728000000005</v>
      </c>
      <c r="S275" s="711">
        <f t="shared" si="29"/>
        <v>3354.4728000000005</v>
      </c>
    </row>
    <row r="276" spans="1:19" s="698" customFormat="1" ht="15" customHeight="1">
      <c r="A276" s="784"/>
      <c r="B276" s="850"/>
      <c r="C276" s="851"/>
      <c r="D276" s="580">
        <v>1</v>
      </c>
      <c r="E276" s="580">
        <v>1</v>
      </c>
      <c r="F276" s="578"/>
      <c r="G276" s="578">
        <v>1</v>
      </c>
      <c r="H276" s="580"/>
      <c r="I276" s="580" t="s">
        <v>212</v>
      </c>
      <c r="J276" s="580" t="s">
        <v>212</v>
      </c>
      <c r="K276" s="712">
        <v>1997</v>
      </c>
      <c r="L276" s="580" t="s">
        <v>276</v>
      </c>
      <c r="M276" s="646">
        <v>201.75</v>
      </c>
      <c r="N276" s="730">
        <v>20.384</v>
      </c>
      <c r="O276" s="586">
        <f t="shared" si="26"/>
        <v>4112.472</v>
      </c>
      <c r="P276" s="740">
        <v>127.86</v>
      </c>
      <c r="Q276" s="730">
        <v>23.73</v>
      </c>
      <c r="R276" s="586">
        <f t="shared" si="27"/>
        <v>3034.1178</v>
      </c>
      <c r="S276" s="711">
        <f t="shared" si="29"/>
        <v>7146.5898</v>
      </c>
    </row>
    <row r="277" spans="1:19" s="698" customFormat="1" ht="15" customHeight="1">
      <c r="A277" s="784"/>
      <c r="B277" s="784"/>
      <c r="C277" s="851"/>
      <c r="D277" s="580">
        <v>1</v>
      </c>
      <c r="E277" s="580">
        <v>1</v>
      </c>
      <c r="F277" s="578"/>
      <c r="G277" s="578">
        <v>1</v>
      </c>
      <c r="H277" s="580"/>
      <c r="I277" s="580" t="s">
        <v>212</v>
      </c>
      <c r="J277" s="580" t="s">
        <v>212</v>
      </c>
      <c r="K277" s="712">
        <v>1992</v>
      </c>
      <c r="L277" s="740" t="s">
        <v>366</v>
      </c>
      <c r="M277" s="646">
        <v>340.5</v>
      </c>
      <c r="N277" s="730">
        <v>20.384</v>
      </c>
      <c r="O277" s="585">
        <f t="shared" si="26"/>
        <v>6940.752</v>
      </c>
      <c r="P277" s="740">
        <v>0</v>
      </c>
      <c r="Q277" s="730">
        <v>23.73</v>
      </c>
      <c r="R277" s="586">
        <f t="shared" si="27"/>
        <v>0</v>
      </c>
      <c r="S277" s="711">
        <f t="shared" si="29"/>
        <v>6940.752</v>
      </c>
    </row>
    <row r="278" spans="1:19" s="698" customFormat="1" ht="15" customHeight="1">
      <c r="A278" s="784"/>
      <c r="B278" s="784"/>
      <c r="C278" s="851"/>
      <c r="D278" s="580">
        <v>1</v>
      </c>
      <c r="E278" s="580"/>
      <c r="F278" s="578">
        <v>1</v>
      </c>
      <c r="G278" s="578">
        <v>1</v>
      </c>
      <c r="H278" s="580"/>
      <c r="I278" s="580" t="s">
        <v>212</v>
      </c>
      <c r="J278" s="580" t="s">
        <v>212</v>
      </c>
      <c r="K278" s="712">
        <v>2006</v>
      </c>
      <c r="L278" s="580" t="s">
        <v>276</v>
      </c>
      <c r="M278" s="646">
        <v>326.75</v>
      </c>
      <c r="N278" s="730">
        <v>20.384</v>
      </c>
      <c r="O278" s="585">
        <f t="shared" si="26"/>
        <v>6660.472</v>
      </c>
      <c r="P278" s="740">
        <v>135.98</v>
      </c>
      <c r="Q278" s="730">
        <v>23.73</v>
      </c>
      <c r="R278" s="586">
        <f t="shared" si="27"/>
        <v>3226.8053999999997</v>
      </c>
      <c r="S278" s="711">
        <f t="shared" si="29"/>
        <v>9887.277399999999</v>
      </c>
    </row>
    <row r="279" spans="1:19" s="698" customFormat="1" ht="15" customHeight="1">
      <c r="A279" s="784"/>
      <c r="B279" s="850"/>
      <c r="C279" s="851"/>
      <c r="D279" s="580">
        <v>1</v>
      </c>
      <c r="E279" s="580">
        <v>1</v>
      </c>
      <c r="F279" s="578"/>
      <c r="G279" s="578">
        <v>1</v>
      </c>
      <c r="H279" s="580"/>
      <c r="I279" s="580" t="s">
        <v>212</v>
      </c>
      <c r="J279" s="580" t="s">
        <v>212</v>
      </c>
      <c r="K279" s="712">
        <v>2004</v>
      </c>
      <c r="L279" s="580" t="s">
        <v>275</v>
      </c>
      <c r="M279" s="646">
        <v>0</v>
      </c>
      <c r="N279" s="730">
        <v>20.384</v>
      </c>
      <c r="O279" s="585">
        <f t="shared" si="26"/>
        <v>0</v>
      </c>
      <c r="P279" s="740">
        <v>80.61</v>
      </c>
      <c r="Q279" s="730">
        <v>23.73</v>
      </c>
      <c r="R279" s="586">
        <f t="shared" si="27"/>
        <v>1912.8753</v>
      </c>
      <c r="S279" s="711">
        <f t="shared" si="29"/>
        <v>1912.8753</v>
      </c>
    </row>
    <row r="280" spans="1:19" s="698" customFormat="1" ht="15" customHeight="1">
      <c r="A280" s="784"/>
      <c r="B280" s="784"/>
      <c r="C280" s="851"/>
      <c r="D280" s="580">
        <v>1</v>
      </c>
      <c r="E280" s="580">
        <v>1</v>
      </c>
      <c r="F280" s="578"/>
      <c r="G280" s="578">
        <v>1</v>
      </c>
      <c r="H280" s="580"/>
      <c r="I280" s="580" t="s">
        <v>212</v>
      </c>
      <c r="J280" s="584" t="s">
        <v>501</v>
      </c>
      <c r="K280" s="712">
        <v>1998</v>
      </c>
      <c r="L280" s="580" t="s">
        <v>275</v>
      </c>
      <c r="M280" s="646">
        <v>0</v>
      </c>
      <c r="N280" s="730">
        <v>20.384</v>
      </c>
      <c r="O280" s="585">
        <f t="shared" si="26"/>
        <v>0</v>
      </c>
      <c r="P280" s="740">
        <v>86.86</v>
      </c>
      <c r="Q280" s="730">
        <v>23.73</v>
      </c>
      <c r="R280" s="586">
        <f t="shared" si="27"/>
        <v>2061.1878</v>
      </c>
      <c r="S280" s="711">
        <f t="shared" si="29"/>
        <v>2061.1878</v>
      </c>
    </row>
    <row r="281" spans="1:19" s="698" customFormat="1" ht="15" customHeight="1">
      <c r="A281" s="784"/>
      <c r="B281" s="850"/>
      <c r="C281" s="851"/>
      <c r="D281" s="580">
        <v>1</v>
      </c>
      <c r="E281" s="580">
        <v>1</v>
      </c>
      <c r="F281" s="578"/>
      <c r="G281" s="578">
        <v>1</v>
      </c>
      <c r="H281" s="580"/>
      <c r="I281" s="580" t="s">
        <v>212</v>
      </c>
      <c r="J281" s="584" t="s">
        <v>212</v>
      </c>
      <c r="K281" s="712">
        <v>2003</v>
      </c>
      <c r="L281" s="580" t="s">
        <v>276</v>
      </c>
      <c r="M281" s="646">
        <v>24</v>
      </c>
      <c r="N281" s="730">
        <v>20.384</v>
      </c>
      <c r="O281" s="585">
        <f t="shared" si="26"/>
        <v>489.216</v>
      </c>
      <c r="P281" s="740">
        <v>66.5</v>
      </c>
      <c r="Q281" s="730">
        <v>23.73</v>
      </c>
      <c r="R281" s="586">
        <f t="shared" si="27"/>
        <v>1578.045</v>
      </c>
      <c r="S281" s="711">
        <f t="shared" si="29"/>
        <v>2067.261</v>
      </c>
    </row>
    <row r="282" spans="1:19" s="698" customFormat="1" ht="15" customHeight="1">
      <c r="A282" s="784"/>
      <c r="B282" s="784"/>
      <c r="C282" s="851"/>
      <c r="D282" s="580">
        <v>1</v>
      </c>
      <c r="E282" s="580">
        <v>1</v>
      </c>
      <c r="F282" s="578"/>
      <c r="G282" s="578">
        <v>1</v>
      </c>
      <c r="H282" s="580"/>
      <c r="I282" s="580" t="s">
        <v>212</v>
      </c>
      <c r="J282" s="584" t="s">
        <v>212</v>
      </c>
      <c r="K282" s="712">
        <v>1999</v>
      </c>
      <c r="L282" s="580" t="s">
        <v>276</v>
      </c>
      <c r="M282" s="646">
        <v>191</v>
      </c>
      <c r="N282" s="730">
        <v>20.384</v>
      </c>
      <c r="O282" s="585">
        <f t="shared" si="26"/>
        <v>3893.344</v>
      </c>
      <c r="P282" s="740">
        <v>139.48</v>
      </c>
      <c r="Q282" s="730">
        <v>23.73</v>
      </c>
      <c r="R282" s="586">
        <f t="shared" si="27"/>
        <v>3309.8604</v>
      </c>
      <c r="S282" s="711">
        <f t="shared" si="29"/>
        <v>7203.2044000000005</v>
      </c>
    </row>
    <row r="283" spans="1:19" s="698" customFormat="1" ht="15" customHeight="1">
      <c r="A283" s="784"/>
      <c r="B283" s="850"/>
      <c r="C283" s="851"/>
      <c r="D283" s="580">
        <v>1</v>
      </c>
      <c r="E283" s="580">
        <v>1</v>
      </c>
      <c r="F283" s="578"/>
      <c r="G283" s="578">
        <v>1</v>
      </c>
      <c r="H283" s="580"/>
      <c r="I283" s="580" t="s">
        <v>212</v>
      </c>
      <c r="J283" s="584" t="s">
        <v>212</v>
      </c>
      <c r="K283" s="712">
        <v>2000</v>
      </c>
      <c r="L283" s="580" t="s">
        <v>276</v>
      </c>
      <c r="M283" s="646">
        <v>193</v>
      </c>
      <c r="N283" s="730">
        <v>20.384</v>
      </c>
      <c r="O283" s="585">
        <f t="shared" si="26"/>
        <v>3934.112</v>
      </c>
      <c r="P283" s="740">
        <v>114.36</v>
      </c>
      <c r="Q283" s="730">
        <v>23.73</v>
      </c>
      <c r="R283" s="586">
        <f t="shared" si="27"/>
        <v>2713.7628</v>
      </c>
      <c r="S283" s="711">
        <f t="shared" si="29"/>
        <v>6647.8748</v>
      </c>
    </row>
    <row r="284" spans="1:19" s="698" customFormat="1" ht="15" customHeight="1">
      <c r="A284" s="784"/>
      <c r="B284" s="784"/>
      <c r="C284" s="851"/>
      <c r="D284" s="580">
        <v>1</v>
      </c>
      <c r="E284" s="580"/>
      <c r="F284" s="578">
        <v>1</v>
      </c>
      <c r="G284" s="578">
        <v>1</v>
      </c>
      <c r="H284" s="580"/>
      <c r="I284" s="580" t="s">
        <v>212</v>
      </c>
      <c r="J284" s="584" t="s">
        <v>212</v>
      </c>
      <c r="K284" s="712">
        <v>2001</v>
      </c>
      <c r="L284" s="580" t="s">
        <v>276</v>
      </c>
      <c r="M284" s="646">
        <v>241</v>
      </c>
      <c r="N284" s="730">
        <v>20.384</v>
      </c>
      <c r="O284" s="585">
        <f t="shared" si="26"/>
        <v>4912.544</v>
      </c>
      <c r="P284" s="740">
        <v>138.48</v>
      </c>
      <c r="Q284" s="730">
        <v>23.73</v>
      </c>
      <c r="R284" s="586">
        <f t="shared" si="27"/>
        <v>3286.1304</v>
      </c>
      <c r="S284" s="711">
        <f t="shared" si="29"/>
        <v>8198.6744</v>
      </c>
    </row>
    <row r="285" spans="1:19" s="698" customFormat="1" ht="15" customHeight="1">
      <c r="A285" s="784"/>
      <c r="B285" s="850"/>
      <c r="C285" s="851"/>
      <c r="D285" s="580">
        <v>1</v>
      </c>
      <c r="E285" s="580">
        <v>1</v>
      </c>
      <c r="F285" s="578"/>
      <c r="G285" s="578">
        <v>1</v>
      </c>
      <c r="H285" s="580"/>
      <c r="I285" s="580" t="s">
        <v>212</v>
      </c>
      <c r="J285" s="584" t="s">
        <v>212</v>
      </c>
      <c r="K285" s="712">
        <v>1998</v>
      </c>
      <c r="L285" s="783" t="s">
        <v>289</v>
      </c>
      <c r="M285" s="646">
        <v>20</v>
      </c>
      <c r="N285" s="730">
        <v>243.36</v>
      </c>
      <c r="O285" s="585">
        <v>4867.2</v>
      </c>
      <c r="P285" s="740">
        <v>176.48</v>
      </c>
      <c r="Q285" s="730">
        <v>23.73</v>
      </c>
      <c r="R285" s="586">
        <f t="shared" si="27"/>
        <v>4187.8704</v>
      </c>
      <c r="S285" s="711">
        <f t="shared" si="29"/>
        <v>9055.0704</v>
      </c>
    </row>
    <row r="286" spans="1:19" s="698" customFormat="1" ht="15" customHeight="1">
      <c r="A286" s="784"/>
      <c r="B286" s="850"/>
      <c r="C286" s="856"/>
      <c r="D286" s="580">
        <v>1</v>
      </c>
      <c r="E286" s="580">
        <v>1</v>
      </c>
      <c r="F286" s="578"/>
      <c r="G286" s="578">
        <v>1</v>
      </c>
      <c r="H286" s="719"/>
      <c r="I286" s="580" t="s">
        <v>212</v>
      </c>
      <c r="J286" s="584" t="s">
        <v>212</v>
      </c>
      <c r="K286" s="712">
        <v>2008</v>
      </c>
      <c r="L286" s="580" t="s">
        <v>275</v>
      </c>
      <c r="M286" s="646">
        <v>0</v>
      </c>
      <c r="N286" s="730">
        <v>20.384</v>
      </c>
      <c r="O286" s="585">
        <f aca="true" t="shared" si="30" ref="O286:O296">M286*N286</f>
        <v>0</v>
      </c>
      <c r="P286" s="740">
        <v>122.98</v>
      </c>
      <c r="Q286" s="730">
        <v>23.73</v>
      </c>
      <c r="R286" s="586">
        <f t="shared" si="27"/>
        <v>2918.3154</v>
      </c>
      <c r="S286" s="711">
        <f t="shared" si="29"/>
        <v>2918.3154</v>
      </c>
    </row>
    <row r="287" spans="1:19" s="698" customFormat="1" ht="15" customHeight="1">
      <c r="A287" s="784"/>
      <c r="B287" s="784"/>
      <c r="C287" s="851"/>
      <c r="D287" s="580">
        <v>1</v>
      </c>
      <c r="E287" s="580">
        <v>1</v>
      </c>
      <c r="F287" s="578"/>
      <c r="G287" s="578">
        <v>1</v>
      </c>
      <c r="H287" s="580"/>
      <c r="I287" s="580" t="s">
        <v>212</v>
      </c>
      <c r="J287" s="584" t="s">
        <v>212</v>
      </c>
      <c r="K287" s="712">
        <v>1995</v>
      </c>
      <c r="L287" s="580" t="s">
        <v>276</v>
      </c>
      <c r="M287" s="646">
        <v>261</v>
      </c>
      <c r="N287" s="730">
        <v>20.384</v>
      </c>
      <c r="O287" s="585">
        <f t="shared" si="30"/>
        <v>5320.224</v>
      </c>
      <c r="P287" s="740">
        <v>159.48</v>
      </c>
      <c r="Q287" s="730">
        <v>23.73</v>
      </c>
      <c r="R287" s="586">
        <f t="shared" si="27"/>
        <v>3784.4604</v>
      </c>
      <c r="S287" s="711">
        <f t="shared" si="29"/>
        <v>9104.6844</v>
      </c>
    </row>
    <row r="288" spans="1:21" s="698" customFormat="1" ht="15" customHeight="1">
      <c r="A288" s="784"/>
      <c r="B288" s="784"/>
      <c r="C288" s="851"/>
      <c r="D288" s="580">
        <v>1</v>
      </c>
      <c r="E288" s="580">
        <v>1</v>
      </c>
      <c r="F288" s="578"/>
      <c r="G288" s="578">
        <v>1</v>
      </c>
      <c r="H288" s="580"/>
      <c r="I288" s="580" t="s">
        <v>212</v>
      </c>
      <c r="J288" s="584" t="s">
        <v>212</v>
      </c>
      <c r="K288" s="712">
        <v>2005</v>
      </c>
      <c r="L288" s="580" t="s">
        <v>179</v>
      </c>
      <c r="M288" s="740">
        <v>255</v>
      </c>
      <c r="N288" s="730">
        <v>27.04</v>
      </c>
      <c r="O288" s="585">
        <f t="shared" si="30"/>
        <v>6895.2</v>
      </c>
      <c r="P288" s="740">
        <v>147</v>
      </c>
      <c r="Q288" s="756">
        <v>27.04</v>
      </c>
      <c r="R288" s="586">
        <f t="shared" si="27"/>
        <v>3974.8799999999997</v>
      </c>
      <c r="S288" s="711">
        <f t="shared" si="29"/>
        <v>10870.08</v>
      </c>
      <c r="U288" s="747"/>
    </row>
    <row r="289" spans="1:19" s="698" customFormat="1" ht="15" customHeight="1">
      <c r="A289" s="784"/>
      <c r="B289" s="784"/>
      <c r="C289" s="851"/>
      <c r="D289" s="580"/>
      <c r="E289" s="580"/>
      <c r="F289" s="578"/>
      <c r="G289" s="578"/>
      <c r="H289" s="580"/>
      <c r="I289" s="580"/>
      <c r="J289" s="584"/>
      <c r="K289" s="712"/>
      <c r="L289" s="580" t="s">
        <v>366</v>
      </c>
      <c r="M289" s="740">
        <v>253.5</v>
      </c>
      <c r="N289" s="730">
        <v>20.384</v>
      </c>
      <c r="O289" s="585">
        <f t="shared" si="30"/>
        <v>5167.344</v>
      </c>
      <c r="P289" s="740">
        <v>0</v>
      </c>
      <c r="Q289" s="756">
        <v>23.73</v>
      </c>
      <c r="R289" s="586">
        <f t="shared" si="27"/>
        <v>0</v>
      </c>
      <c r="S289" s="711">
        <f t="shared" si="29"/>
        <v>5167.344</v>
      </c>
    </row>
    <row r="290" spans="1:19" s="698" customFormat="1" ht="15" customHeight="1">
      <c r="A290" s="784"/>
      <c r="B290" s="784"/>
      <c r="C290" s="851"/>
      <c r="D290" s="580">
        <v>1</v>
      </c>
      <c r="E290" s="580">
        <v>1</v>
      </c>
      <c r="F290" s="578"/>
      <c r="G290" s="578">
        <v>1</v>
      </c>
      <c r="H290" s="580"/>
      <c r="I290" s="580" t="s">
        <v>212</v>
      </c>
      <c r="J290" s="584" t="s">
        <v>212</v>
      </c>
      <c r="K290" s="712">
        <v>2010</v>
      </c>
      <c r="L290" s="580" t="s">
        <v>179</v>
      </c>
      <c r="M290" s="740">
        <v>0</v>
      </c>
      <c r="N290" s="756">
        <v>27.04</v>
      </c>
      <c r="O290" s="585">
        <f t="shared" si="30"/>
        <v>0</v>
      </c>
      <c r="P290" s="740">
        <v>171</v>
      </c>
      <c r="Q290" s="756">
        <v>27.04</v>
      </c>
      <c r="R290" s="585">
        <f t="shared" si="27"/>
        <v>4623.84</v>
      </c>
      <c r="S290" s="711">
        <f t="shared" si="29"/>
        <v>4623.84</v>
      </c>
    </row>
    <row r="291" spans="1:19" s="698" customFormat="1" ht="15" customHeight="1">
      <c r="A291" s="784"/>
      <c r="B291" s="850"/>
      <c r="C291" s="851"/>
      <c r="D291" s="580">
        <v>1</v>
      </c>
      <c r="E291" s="580">
        <v>1</v>
      </c>
      <c r="F291" s="578"/>
      <c r="G291" s="578">
        <v>1</v>
      </c>
      <c r="H291" s="580"/>
      <c r="I291" s="580" t="s">
        <v>212</v>
      </c>
      <c r="J291" s="584" t="s">
        <v>212</v>
      </c>
      <c r="K291" s="712">
        <v>1998</v>
      </c>
      <c r="L291" s="580" t="s">
        <v>366</v>
      </c>
      <c r="M291" s="740">
        <v>108.5</v>
      </c>
      <c r="N291" s="730">
        <v>20.384</v>
      </c>
      <c r="O291" s="585">
        <f t="shared" si="30"/>
        <v>2211.664</v>
      </c>
      <c r="P291" s="740">
        <v>0</v>
      </c>
      <c r="Q291" s="756">
        <v>23.73</v>
      </c>
      <c r="R291" s="585">
        <f t="shared" si="27"/>
        <v>0</v>
      </c>
      <c r="S291" s="711">
        <f t="shared" si="29"/>
        <v>2211.664</v>
      </c>
    </row>
    <row r="292" spans="1:19" s="745" customFormat="1" ht="15" customHeight="1">
      <c r="A292" s="784"/>
      <c r="B292" s="850"/>
      <c r="C292" s="851"/>
      <c r="D292" s="580">
        <v>1</v>
      </c>
      <c r="E292" s="580">
        <v>1</v>
      </c>
      <c r="F292" s="578"/>
      <c r="G292" s="578">
        <v>1</v>
      </c>
      <c r="H292" s="580"/>
      <c r="I292" s="580" t="s">
        <v>212</v>
      </c>
      <c r="J292" s="584" t="s">
        <v>212</v>
      </c>
      <c r="K292" s="712">
        <v>1997</v>
      </c>
      <c r="L292" s="580" t="s">
        <v>276</v>
      </c>
      <c r="M292" s="740">
        <v>204</v>
      </c>
      <c r="N292" s="730">
        <v>20.384</v>
      </c>
      <c r="O292" s="585">
        <f t="shared" si="30"/>
        <v>4158.336</v>
      </c>
      <c r="P292" s="740">
        <v>136.36</v>
      </c>
      <c r="Q292" s="756">
        <v>23.73</v>
      </c>
      <c r="R292" s="585">
        <f t="shared" si="27"/>
        <v>3235.8228000000004</v>
      </c>
      <c r="S292" s="711">
        <f t="shared" si="29"/>
        <v>7394.158800000001</v>
      </c>
    </row>
    <row r="293" spans="1:19" s="698" customFormat="1" ht="15" customHeight="1">
      <c r="A293" s="1145" t="s">
        <v>290</v>
      </c>
      <c r="B293" s="1146"/>
      <c r="C293" s="578"/>
      <c r="D293" s="719"/>
      <c r="E293" s="719"/>
      <c r="F293" s="719"/>
      <c r="G293" s="719"/>
      <c r="H293" s="719"/>
      <c r="I293" s="750"/>
      <c r="J293" s="719"/>
      <c r="K293" s="719"/>
      <c r="L293" s="580" t="s">
        <v>276</v>
      </c>
      <c r="M293" s="740">
        <v>55.74</v>
      </c>
      <c r="N293" s="730">
        <v>20.384</v>
      </c>
      <c r="O293" s="585">
        <f t="shared" si="30"/>
        <v>1136.20416</v>
      </c>
      <c r="P293" s="740">
        <v>56</v>
      </c>
      <c r="Q293" s="756">
        <v>23.73</v>
      </c>
      <c r="R293" s="585">
        <f>P293*Q293</f>
        <v>1328.88</v>
      </c>
      <c r="S293" s="711">
        <f t="shared" si="29"/>
        <v>2465.0841600000003</v>
      </c>
    </row>
    <row r="294" spans="1:19" s="698" customFormat="1" ht="15" customHeight="1">
      <c r="A294" s="1145" t="s">
        <v>360</v>
      </c>
      <c r="B294" s="1146"/>
      <c r="C294" s="578"/>
      <c r="D294" s="719"/>
      <c r="E294" s="719"/>
      <c r="F294" s="719"/>
      <c r="G294" s="719"/>
      <c r="H294" s="719"/>
      <c r="I294" s="750"/>
      <c r="J294" s="719"/>
      <c r="K294" s="719"/>
      <c r="L294" s="580" t="s">
        <v>275</v>
      </c>
      <c r="M294" s="740">
        <v>0</v>
      </c>
      <c r="N294" s="730">
        <v>20.384</v>
      </c>
      <c r="O294" s="585">
        <f t="shared" si="30"/>
        <v>0</v>
      </c>
      <c r="P294" s="740">
        <v>51</v>
      </c>
      <c r="Q294" s="756">
        <v>23.73</v>
      </c>
      <c r="R294" s="585">
        <f>P294*Q294</f>
        <v>1210.23</v>
      </c>
      <c r="S294" s="711">
        <f t="shared" si="29"/>
        <v>1210.23</v>
      </c>
    </row>
    <row r="295" spans="1:21" s="698" customFormat="1" ht="15" customHeight="1">
      <c r="A295" s="1145" t="s">
        <v>174</v>
      </c>
      <c r="B295" s="1146"/>
      <c r="C295" s="578"/>
      <c r="D295" s="719"/>
      <c r="E295" s="719"/>
      <c r="F295" s="719"/>
      <c r="G295" s="719"/>
      <c r="H295" s="719"/>
      <c r="I295" s="750"/>
      <c r="J295" s="719"/>
      <c r="K295" s="719"/>
      <c r="L295" s="580" t="s">
        <v>276</v>
      </c>
      <c r="M295" s="740">
        <v>208</v>
      </c>
      <c r="N295" s="730">
        <v>20.384</v>
      </c>
      <c r="O295" s="585">
        <f t="shared" si="30"/>
        <v>4239.872</v>
      </c>
      <c r="P295" s="740">
        <v>69</v>
      </c>
      <c r="Q295" s="756">
        <v>23.73</v>
      </c>
      <c r="R295" s="585">
        <f>P295*Q295</f>
        <v>1637.3700000000001</v>
      </c>
      <c r="S295" s="711">
        <f t="shared" si="29"/>
        <v>5877.242</v>
      </c>
      <c r="U295" s="747"/>
    </row>
    <row r="296" spans="1:19" s="698" customFormat="1" ht="15" customHeight="1">
      <c r="A296" s="1145" t="s">
        <v>346</v>
      </c>
      <c r="B296" s="1146"/>
      <c r="C296" s="578"/>
      <c r="D296" s="719"/>
      <c r="E296" s="719"/>
      <c r="F296" s="719"/>
      <c r="G296" s="719"/>
      <c r="H296" s="719"/>
      <c r="I296" s="750"/>
      <c r="J296" s="719"/>
      <c r="K296" s="719"/>
      <c r="L296" s="740" t="s">
        <v>53</v>
      </c>
      <c r="M296" s="740">
        <v>66.97</v>
      </c>
      <c r="N296" s="730">
        <v>20.384</v>
      </c>
      <c r="O296" s="585">
        <f t="shared" si="30"/>
        <v>1365.11648</v>
      </c>
      <c r="P296" s="740">
        <v>0</v>
      </c>
      <c r="Q296" s="756">
        <v>23.73</v>
      </c>
      <c r="R296" s="585">
        <f>P296*Q296</f>
        <v>0</v>
      </c>
      <c r="S296" s="711">
        <f t="shared" si="29"/>
        <v>1365.11648</v>
      </c>
    </row>
    <row r="297" spans="1:19" s="698" customFormat="1" ht="15" customHeight="1">
      <c r="A297" s="1147" t="s">
        <v>292</v>
      </c>
      <c r="B297" s="1148"/>
      <c r="C297" s="578"/>
      <c r="D297" s="719"/>
      <c r="E297" s="719"/>
      <c r="F297" s="719"/>
      <c r="G297" s="719"/>
      <c r="H297" s="719"/>
      <c r="I297" s="750"/>
      <c r="J297" s="719"/>
      <c r="K297" s="719"/>
      <c r="L297" s="740"/>
      <c r="M297" s="740"/>
      <c r="N297" s="730"/>
      <c r="O297" s="585"/>
      <c r="P297" s="740"/>
      <c r="Q297" s="756"/>
      <c r="R297" s="585"/>
      <c r="S297" s="711">
        <v>174.16</v>
      </c>
    </row>
    <row r="298" spans="1:19" s="698" customFormat="1" ht="15" customHeight="1">
      <c r="A298" s="1147" t="s">
        <v>80</v>
      </c>
      <c r="B298" s="1148"/>
      <c r="C298" s="578"/>
      <c r="D298" s="719"/>
      <c r="E298" s="719"/>
      <c r="F298" s="719"/>
      <c r="G298" s="719"/>
      <c r="H298" s="719"/>
      <c r="I298" s="750"/>
      <c r="J298" s="719"/>
      <c r="K298" s="719"/>
      <c r="L298" s="740"/>
      <c r="M298" s="740"/>
      <c r="N298" s="730"/>
      <c r="O298" s="585"/>
      <c r="P298" s="740"/>
      <c r="Q298" s="756"/>
      <c r="R298" s="585"/>
      <c r="S298" s="711">
        <v>2999.16</v>
      </c>
    </row>
    <row r="299" spans="1:19" s="698" customFormat="1" ht="15" customHeight="1">
      <c r="A299" s="1147" t="s">
        <v>51</v>
      </c>
      <c r="B299" s="1148"/>
      <c r="C299" s="578"/>
      <c r="D299" s="719"/>
      <c r="E299" s="719"/>
      <c r="F299" s="719"/>
      <c r="G299" s="719"/>
      <c r="H299" s="719"/>
      <c r="I299" s="750"/>
      <c r="J299" s="719"/>
      <c r="K299" s="719"/>
      <c r="L299" s="740"/>
      <c r="M299" s="740"/>
      <c r="N299" s="730"/>
      <c r="O299" s="585"/>
      <c r="P299" s="740"/>
      <c r="Q299" s="756"/>
      <c r="R299" s="585"/>
      <c r="S299" s="711">
        <f>118258.68-97183.6</f>
        <v>21075.079999999987</v>
      </c>
    </row>
    <row r="300" spans="1:19" s="699" customFormat="1" ht="15" customHeight="1">
      <c r="A300" s="1138" t="s">
        <v>341</v>
      </c>
      <c r="B300" s="1138"/>
      <c r="C300" s="553"/>
      <c r="D300" s="547">
        <f>SUM(D254:D299)</f>
        <v>37</v>
      </c>
      <c r="E300" s="547">
        <f>SUM(E254:E295)</f>
        <v>26</v>
      </c>
      <c r="F300" s="547">
        <f>SUM(F254:F295)</f>
        <v>11</v>
      </c>
      <c r="G300" s="547">
        <f>SUM(G254:G295)</f>
        <v>36</v>
      </c>
      <c r="H300" s="547">
        <f>SUM(H254:H295)</f>
        <v>1</v>
      </c>
      <c r="I300" s="751"/>
      <c r="J300" s="554"/>
      <c r="K300" s="554"/>
      <c r="L300" s="655"/>
      <c r="M300" s="655">
        <f>SUM(M254:M299)</f>
        <v>8186.54</v>
      </c>
      <c r="N300" s="554"/>
      <c r="O300" s="550">
        <f>SUM(O254:O299)</f>
        <v>173031.23136000003</v>
      </c>
      <c r="P300" s="655">
        <f>SUM(P254:P299)</f>
        <v>4413.39</v>
      </c>
      <c r="Q300" s="554"/>
      <c r="R300" s="550">
        <f>SUM(R254:R299)</f>
        <v>105782.32469999998</v>
      </c>
      <c r="S300" s="550">
        <f>SUM(S254:S299)</f>
        <v>300902.52605999995</v>
      </c>
    </row>
    <row r="301" spans="1:19" s="559" customFormat="1" ht="15" customHeight="1">
      <c r="A301" s="1140" t="s">
        <v>71</v>
      </c>
      <c r="B301" s="1140"/>
      <c r="C301" s="638"/>
      <c r="D301" s="707"/>
      <c r="E301" s="708"/>
      <c r="F301" s="708"/>
      <c r="G301" s="708"/>
      <c r="H301" s="708"/>
      <c r="I301" s="709"/>
      <c r="J301" s="708"/>
      <c r="K301" s="708"/>
      <c r="L301" s="661"/>
      <c r="M301" s="709"/>
      <c r="N301" s="754"/>
      <c r="O301" s="661"/>
      <c r="P301" s="661"/>
      <c r="Q301" s="754"/>
      <c r="R301" s="710"/>
      <c r="S301" s="710"/>
    </row>
    <row r="302" spans="1:19" s="559" customFormat="1" ht="57" customHeight="1">
      <c r="A302" s="511" t="s">
        <v>332</v>
      </c>
      <c r="B302" s="511" t="s">
        <v>333</v>
      </c>
      <c r="C302" s="511" t="s">
        <v>213</v>
      </c>
      <c r="D302" s="512" t="s">
        <v>36</v>
      </c>
      <c r="E302" s="512" t="s">
        <v>73</v>
      </c>
      <c r="F302" s="512" t="s">
        <v>74</v>
      </c>
      <c r="G302" s="512" t="s">
        <v>37</v>
      </c>
      <c r="H302" s="512" t="s">
        <v>38</v>
      </c>
      <c r="I302" s="512" t="s">
        <v>15</v>
      </c>
      <c r="J302" s="512" t="s">
        <v>214</v>
      </c>
      <c r="K302" s="512" t="s">
        <v>39</v>
      </c>
      <c r="L302" s="512" t="s">
        <v>84</v>
      </c>
      <c r="M302" s="634" t="s">
        <v>287</v>
      </c>
      <c r="N302" s="729" t="s">
        <v>40</v>
      </c>
      <c r="O302" s="634" t="s">
        <v>57</v>
      </c>
      <c r="P302" s="634" t="s">
        <v>514</v>
      </c>
      <c r="Q302" s="729" t="s">
        <v>40</v>
      </c>
      <c r="R302" s="634" t="s">
        <v>57</v>
      </c>
      <c r="S302" s="511" t="s">
        <v>58</v>
      </c>
    </row>
    <row r="303" spans="1:21" s="698" customFormat="1" ht="15" customHeight="1">
      <c r="A303" s="784"/>
      <c r="B303" s="784"/>
      <c r="C303" s="851"/>
      <c r="D303" s="580">
        <v>1</v>
      </c>
      <c r="E303" s="719"/>
      <c r="F303" s="578">
        <v>1</v>
      </c>
      <c r="G303" s="719"/>
      <c r="H303" s="578">
        <v>1</v>
      </c>
      <c r="I303" s="580" t="s">
        <v>18</v>
      </c>
      <c r="J303" s="584" t="s">
        <v>18</v>
      </c>
      <c r="K303" s="562">
        <v>2004</v>
      </c>
      <c r="L303" s="580" t="s">
        <v>276</v>
      </c>
      <c r="M303" s="740">
        <v>317</v>
      </c>
      <c r="N303" s="730">
        <v>20.384</v>
      </c>
      <c r="O303" s="585">
        <f aca="true" t="shared" si="31" ref="O303:O308">M303*N303</f>
        <v>6461.728</v>
      </c>
      <c r="P303" s="740">
        <v>182.36</v>
      </c>
      <c r="Q303" s="756">
        <v>23.73</v>
      </c>
      <c r="R303" s="585">
        <f aca="true" t="shared" si="32" ref="R303:R308">P303*Q303</f>
        <v>4327.402800000001</v>
      </c>
      <c r="S303" s="711">
        <f aca="true" t="shared" si="33" ref="S303:S308">O303+R303</f>
        <v>10789.1308</v>
      </c>
      <c r="U303" s="757"/>
    </row>
    <row r="304" spans="1:19" s="698" customFormat="1" ht="15" customHeight="1">
      <c r="A304" s="784"/>
      <c r="B304" s="784"/>
      <c r="C304" s="848"/>
      <c r="D304" s="580">
        <v>1</v>
      </c>
      <c r="E304" s="580">
        <v>1</v>
      </c>
      <c r="F304" s="580"/>
      <c r="G304" s="580">
        <v>1</v>
      </c>
      <c r="H304" s="580"/>
      <c r="I304" s="580" t="s">
        <v>212</v>
      </c>
      <c r="J304" s="584" t="s">
        <v>212</v>
      </c>
      <c r="K304" s="562">
        <v>1999</v>
      </c>
      <c r="L304" s="580" t="s">
        <v>276</v>
      </c>
      <c r="M304" s="740">
        <v>180.5</v>
      </c>
      <c r="N304" s="730">
        <v>20.384</v>
      </c>
      <c r="O304" s="585">
        <f t="shared" si="31"/>
        <v>3679.312</v>
      </c>
      <c r="P304" s="740">
        <v>105.48</v>
      </c>
      <c r="Q304" s="756">
        <v>23.73</v>
      </c>
      <c r="R304" s="585">
        <f t="shared" si="32"/>
        <v>2503.0404000000003</v>
      </c>
      <c r="S304" s="711">
        <f t="shared" si="33"/>
        <v>6182.3524</v>
      </c>
    </row>
    <row r="305" spans="1:19" s="698" customFormat="1" ht="15" customHeight="1">
      <c r="A305" s="784"/>
      <c r="B305" s="784"/>
      <c r="C305" s="851"/>
      <c r="D305" s="580">
        <v>1</v>
      </c>
      <c r="E305" s="580"/>
      <c r="F305" s="578">
        <v>1</v>
      </c>
      <c r="G305" s="719"/>
      <c r="H305" s="578">
        <v>1</v>
      </c>
      <c r="I305" s="580" t="s">
        <v>212</v>
      </c>
      <c r="J305" s="584" t="s">
        <v>427</v>
      </c>
      <c r="K305" s="562">
        <v>2007</v>
      </c>
      <c r="L305" s="580" t="s">
        <v>276</v>
      </c>
      <c r="M305" s="740">
        <v>265</v>
      </c>
      <c r="N305" s="730">
        <v>20.384</v>
      </c>
      <c r="O305" s="585">
        <f t="shared" si="31"/>
        <v>5401.76</v>
      </c>
      <c r="P305" s="740">
        <v>169.86</v>
      </c>
      <c r="Q305" s="756">
        <v>23.73</v>
      </c>
      <c r="R305" s="585">
        <f t="shared" si="32"/>
        <v>4030.7778000000003</v>
      </c>
      <c r="S305" s="711">
        <f t="shared" si="33"/>
        <v>9432.5378</v>
      </c>
    </row>
    <row r="306" spans="1:19" s="698" customFormat="1" ht="15" customHeight="1">
      <c r="A306" s="784"/>
      <c r="B306" s="784"/>
      <c r="C306" s="851"/>
      <c r="D306" s="580">
        <v>1</v>
      </c>
      <c r="E306" s="580">
        <v>1</v>
      </c>
      <c r="F306" s="580"/>
      <c r="G306" s="580">
        <v>1</v>
      </c>
      <c r="H306" s="580"/>
      <c r="I306" s="580" t="s">
        <v>212</v>
      </c>
      <c r="J306" s="584" t="s">
        <v>212</v>
      </c>
      <c r="K306" s="562">
        <v>1997</v>
      </c>
      <c r="L306" s="580" t="s">
        <v>53</v>
      </c>
      <c r="M306" s="740">
        <v>133</v>
      </c>
      <c r="N306" s="730">
        <v>20.384</v>
      </c>
      <c r="O306" s="585">
        <f t="shared" si="31"/>
        <v>2711.072</v>
      </c>
      <c r="P306" s="740">
        <v>0</v>
      </c>
      <c r="Q306" s="756">
        <v>23.73</v>
      </c>
      <c r="R306" s="585">
        <f t="shared" si="32"/>
        <v>0</v>
      </c>
      <c r="S306" s="711">
        <f t="shared" si="33"/>
        <v>2711.072</v>
      </c>
    </row>
    <row r="307" spans="1:19" s="698" customFormat="1" ht="15" customHeight="1">
      <c r="A307" s="784"/>
      <c r="B307" s="784"/>
      <c r="C307" s="851"/>
      <c r="D307" s="580">
        <v>1</v>
      </c>
      <c r="E307" s="580"/>
      <c r="F307" s="580">
        <v>1</v>
      </c>
      <c r="G307" s="580"/>
      <c r="H307" s="580">
        <v>1</v>
      </c>
      <c r="I307" s="580" t="s">
        <v>327</v>
      </c>
      <c r="J307" s="584" t="s">
        <v>327</v>
      </c>
      <c r="K307" s="562">
        <v>1998</v>
      </c>
      <c r="L307" s="580" t="s">
        <v>366</v>
      </c>
      <c r="M307" s="740">
        <v>119</v>
      </c>
      <c r="N307" s="730">
        <v>20.384</v>
      </c>
      <c r="O307" s="585">
        <f t="shared" si="31"/>
        <v>2425.696</v>
      </c>
      <c r="P307" s="740">
        <v>0</v>
      </c>
      <c r="Q307" s="756">
        <v>23.73</v>
      </c>
      <c r="R307" s="585">
        <f t="shared" si="32"/>
        <v>0</v>
      </c>
      <c r="S307" s="711">
        <f t="shared" si="33"/>
        <v>2425.696</v>
      </c>
    </row>
    <row r="308" spans="1:19" s="698" customFormat="1" ht="15" customHeight="1">
      <c r="A308" s="784"/>
      <c r="B308" s="850"/>
      <c r="C308" s="851"/>
      <c r="D308" s="580">
        <v>1</v>
      </c>
      <c r="E308" s="719"/>
      <c r="F308" s="580">
        <v>1</v>
      </c>
      <c r="G308" s="580">
        <v>1</v>
      </c>
      <c r="H308" s="580"/>
      <c r="I308" s="580" t="s">
        <v>212</v>
      </c>
      <c r="J308" s="584" t="s">
        <v>212</v>
      </c>
      <c r="K308" s="562">
        <v>2000</v>
      </c>
      <c r="L308" s="580" t="s">
        <v>276</v>
      </c>
      <c r="M308" s="740">
        <v>134</v>
      </c>
      <c r="N308" s="730">
        <v>20.384</v>
      </c>
      <c r="O308" s="585">
        <f t="shared" si="31"/>
        <v>2731.456</v>
      </c>
      <c r="P308" s="740">
        <v>83.98</v>
      </c>
      <c r="Q308" s="756">
        <v>23.73</v>
      </c>
      <c r="R308" s="585">
        <f t="shared" si="32"/>
        <v>1992.8454000000002</v>
      </c>
      <c r="S308" s="711">
        <f t="shared" si="33"/>
        <v>4724.3014</v>
      </c>
    </row>
    <row r="309" spans="1:19" s="698" customFormat="1" ht="15" customHeight="1">
      <c r="A309" s="1147" t="s">
        <v>51</v>
      </c>
      <c r="B309" s="1148"/>
      <c r="C309" s="578"/>
      <c r="D309" s="719"/>
      <c r="E309" s="719"/>
      <c r="F309" s="719"/>
      <c r="G309" s="719"/>
      <c r="H309" s="719"/>
      <c r="I309" s="750"/>
      <c r="J309" s="719"/>
      <c r="K309" s="719"/>
      <c r="L309" s="740"/>
      <c r="M309" s="740"/>
      <c r="N309" s="730"/>
      <c r="O309" s="585"/>
      <c r="P309" s="740"/>
      <c r="Q309" s="756"/>
      <c r="R309" s="585"/>
      <c r="S309" s="711">
        <f>14453.88-12854.07</f>
        <v>1599.8099999999995</v>
      </c>
    </row>
    <row r="310" spans="1:19" s="716" customFormat="1" ht="15" customHeight="1">
      <c r="A310" s="1141" t="s">
        <v>22</v>
      </c>
      <c r="B310" s="1141"/>
      <c r="C310" s="527"/>
      <c r="D310" s="526">
        <f>SUM(D303:D309)</f>
        <v>6</v>
      </c>
      <c r="E310" s="547">
        <f>SUM(E303:E308)</f>
        <v>2</v>
      </c>
      <c r="F310" s="547">
        <f>SUM(F303:F308)</f>
        <v>4</v>
      </c>
      <c r="G310" s="547">
        <f>SUM(G303:G308)</f>
        <v>3</v>
      </c>
      <c r="H310" s="547">
        <f>SUM(H303:H308)</f>
        <v>3</v>
      </c>
      <c r="I310" s="713"/>
      <c r="J310" s="554"/>
      <c r="K310" s="554"/>
      <c r="L310" s="714"/>
      <c r="M310" s="655">
        <f>SUM(M303:M308)</f>
        <v>1148.5</v>
      </c>
      <c r="N310" s="758"/>
      <c r="O310" s="550">
        <f>SUM(O303:O308)</f>
        <v>23411.024000000005</v>
      </c>
      <c r="P310" s="714">
        <f>SUM(P303:P309)</f>
        <v>541.6800000000001</v>
      </c>
      <c r="Q310" s="758"/>
      <c r="R310" s="550">
        <f>SUM(R303:R308)</f>
        <v>12854.066400000002</v>
      </c>
      <c r="S310" s="550">
        <f>SUM(S303:S309)</f>
        <v>37864.9004</v>
      </c>
    </row>
    <row r="311" spans="1:19" s="559" customFormat="1" ht="15" customHeight="1">
      <c r="A311" s="1140" t="s">
        <v>72</v>
      </c>
      <c r="B311" s="1140"/>
      <c r="C311" s="638"/>
      <c r="D311" s="707"/>
      <c r="E311" s="708"/>
      <c r="F311" s="708"/>
      <c r="G311" s="708"/>
      <c r="H311" s="708"/>
      <c r="I311" s="709"/>
      <c r="J311" s="708"/>
      <c r="K311" s="708"/>
      <c r="L311" s="661"/>
      <c r="M311" s="709"/>
      <c r="N311" s="754"/>
      <c r="O311" s="661"/>
      <c r="P311" s="661"/>
      <c r="Q311" s="754"/>
      <c r="R311" s="710"/>
      <c r="S311" s="710"/>
    </row>
    <row r="312" spans="1:19" s="559" customFormat="1" ht="57" customHeight="1">
      <c r="A312" s="511" t="s">
        <v>332</v>
      </c>
      <c r="B312" s="511" t="s">
        <v>333</v>
      </c>
      <c r="C312" s="511" t="s">
        <v>213</v>
      </c>
      <c r="D312" s="512" t="s">
        <v>36</v>
      </c>
      <c r="E312" s="512" t="s">
        <v>73</v>
      </c>
      <c r="F312" s="512" t="s">
        <v>74</v>
      </c>
      <c r="G312" s="512" t="s">
        <v>37</v>
      </c>
      <c r="H312" s="512" t="s">
        <v>38</v>
      </c>
      <c r="I312" s="512" t="s">
        <v>15</v>
      </c>
      <c r="J312" s="512" t="s">
        <v>214</v>
      </c>
      <c r="K312" s="512" t="s">
        <v>39</v>
      </c>
      <c r="L312" s="512" t="s">
        <v>84</v>
      </c>
      <c r="M312" s="634" t="s">
        <v>287</v>
      </c>
      <c r="N312" s="729" t="s">
        <v>40</v>
      </c>
      <c r="O312" s="634" t="s">
        <v>57</v>
      </c>
      <c r="P312" s="634" t="s">
        <v>514</v>
      </c>
      <c r="Q312" s="729" t="s">
        <v>40</v>
      </c>
      <c r="R312" s="634" t="s">
        <v>57</v>
      </c>
      <c r="S312" s="511" t="s">
        <v>58</v>
      </c>
    </row>
    <row r="313" spans="1:19" s="698" customFormat="1" ht="15" customHeight="1">
      <c r="A313" s="784"/>
      <c r="B313" s="850"/>
      <c r="C313" s="852"/>
      <c r="D313" s="580">
        <v>1</v>
      </c>
      <c r="E313" s="719"/>
      <c r="F313" s="580">
        <v>1</v>
      </c>
      <c r="G313" s="580">
        <v>1</v>
      </c>
      <c r="H313" s="720"/>
      <c r="I313" s="580" t="s">
        <v>363</v>
      </c>
      <c r="J313" s="580" t="s">
        <v>150</v>
      </c>
      <c r="K313" s="562">
        <v>1998</v>
      </c>
      <c r="L313" s="580" t="s">
        <v>275</v>
      </c>
      <c r="M313" s="740">
        <v>0</v>
      </c>
      <c r="N313" s="730">
        <v>19.812</v>
      </c>
      <c r="O313" s="585">
        <f aca="true" t="shared" si="34" ref="O313:O331">M313*N313</f>
        <v>0</v>
      </c>
      <c r="P313" s="740">
        <v>117.48</v>
      </c>
      <c r="Q313" s="756">
        <v>23.73</v>
      </c>
      <c r="R313" s="585">
        <f aca="true" t="shared" si="35" ref="R313:R359">P313*Q313</f>
        <v>2787.8004</v>
      </c>
      <c r="S313" s="711">
        <f aca="true" t="shared" si="36" ref="S313:S344">O313+R313</f>
        <v>2787.8004</v>
      </c>
    </row>
    <row r="314" spans="1:19" s="698" customFormat="1" ht="15" customHeight="1">
      <c r="A314" s="784"/>
      <c r="B314" s="784"/>
      <c r="C314" s="851"/>
      <c r="D314" s="580">
        <v>1</v>
      </c>
      <c r="E314" s="580">
        <v>1</v>
      </c>
      <c r="F314" s="580"/>
      <c r="G314" s="580">
        <v>1</v>
      </c>
      <c r="H314" s="580"/>
      <c r="I314" s="580" t="s">
        <v>212</v>
      </c>
      <c r="J314" s="584" t="s">
        <v>212</v>
      </c>
      <c r="K314" s="562">
        <v>2005</v>
      </c>
      <c r="L314" s="580" t="s">
        <v>53</v>
      </c>
      <c r="M314" s="740">
        <v>151.75</v>
      </c>
      <c r="N314" s="730">
        <v>19.812</v>
      </c>
      <c r="O314" s="585">
        <f t="shared" si="34"/>
        <v>3006.471</v>
      </c>
      <c r="P314" s="740">
        <v>117.73</v>
      </c>
      <c r="Q314" s="756">
        <v>23.73</v>
      </c>
      <c r="R314" s="585">
        <f t="shared" si="35"/>
        <v>2793.7329</v>
      </c>
      <c r="S314" s="711">
        <f t="shared" si="36"/>
        <v>5800.2039</v>
      </c>
    </row>
    <row r="315" spans="1:19" s="698" customFormat="1" ht="15" customHeight="1">
      <c r="A315" s="784"/>
      <c r="B315" s="850"/>
      <c r="C315" s="852"/>
      <c r="D315" s="580">
        <v>1</v>
      </c>
      <c r="E315" s="580">
        <v>1</v>
      </c>
      <c r="F315" s="720"/>
      <c r="G315" s="580">
        <v>1</v>
      </c>
      <c r="H315" s="720"/>
      <c r="I315" s="580" t="s">
        <v>363</v>
      </c>
      <c r="J315" s="580" t="s">
        <v>150</v>
      </c>
      <c r="K315" s="562">
        <v>1992</v>
      </c>
      <c r="L315" s="580" t="s">
        <v>276</v>
      </c>
      <c r="M315" s="740">
        <v>204</v>
      </c>
      <c r="N315" s="730">
        <v>19.812</v>
      </c>
      <c r="O315" s="585">
        <f t="shared" si="34"/>
        <v>4041.648</v>
      </c>
      <c r="P315" s="740">
        <v>114.36</v>
      </c>
      <c r="Q315" s="756">
        <v>23.73</v>
      </c>
      <c r="R315" s="585">
        <f t="shared" si="35"/>
        <v>2713.7628</v>
      </c>
      <c r="S315" s="711">
        <f t="shared" si="36"/>
        <v>6755.4108</v>
      </c>
    </row>
    <row r="316" spans="1:19" s="698" customFormat="1" ht="15" customHeight="1">
      <c r="A316" s="784"/>
      <c r="B316" s="850"/>
      <c r="C316" s="852"/>
      <c r="D316" s="580">
        <v>1</v>
      </c>
      <c r="E316" s="580">
        <v>1</v>
      </c>
      <c r="F316" s="750"/>
      <c r="G316" s="580">
        <v>1</v>
      </c>
      <c r="H316" s="719"/>
      <c r="I316" s="580" t="s">
        <v>212</v>
      </c>
      <c r="J316" s="580" t="s">
        <v>212</v>
      </c>
      <c r="K316" s="562">
        <v>2006</v>
      </c>
      <c r="L316" s="740" t="s">
        <v>275</v>
      </c>
      <c r="M316" s="740">
        <v>0</v>
      </c>
      <c r="N316" s="730">
        <v>19.812</v>
      </c>
      <c r="O316" s="585">
        <f t="shared" si="34"/>
        <v>0</v>
      </c>
      <c r="P316" s="740">
        <v>43.98</v>
      </c>
      <c r="Q316" s="756">
        <v>23.73</v>
      </c>
      <c r="R316" s="585">
        <f t="shared" si="35"/>
        <v>1043.6453999999999</v>
      </c>
      <c r="S316" s="711">
        <f t="shared" si="36"/>
        <v>1043.6453999999999</v>
      </c>
    </row>
    <row r="317" spans="1:19" s="698" customFormat="1" ht="15" customHeight="1">
      <c r="A317" s="784"/>
      <c r="B317" s="784"/>
      <c r="C317" s="852"/>
      <c r="D317" s="580">
        <v>1</v>
      </c>
      <c r="E317" s="580">
        <v>1</v>
      </c>
      <c r="F317" s="580"/>
      <c r="G317" s="580">
        <v>1</v>
      </c>
      <c r="H317" s="580"/>
      <c r="I317" s="580" t="s">
        <v>212</v>
      </c>
      <c r="J317" s="584" t="s">
        <v>212</v>
      </c>
      <c r="K317" s="562">
        <v>1997</v>
      </c>
      <c r="L317" s="580" t="s">
        <v>276</v>
      </c>
      <c r="M317" s="740">
        <v>425.5</v>
      </c>
      <c r="N317" s="730">
        <v>19.812</v>
      </c>
      <c r="O317" s="585">
        <f t="shared" si="34"/>
        <v>8430.006000000001</v>
      </c>
      <c r="P317" s="740">
        <v>252.22</v>
      </c>
      <c r="Q317" s="756">
        <v>23.73</v>
      </c>
      <c r="R317" s="585">
        <f t="shared" si="35"/>
        <v>5985.1806</v>
      </c>
      <c r="S317" s="711">
        <f t="shared" si="36"/>
        <v>14415.1866</v>
      </c>
    </row>
    <row r="318" spans="1:19" s="698" customFormat="1" ht="15" customHeight="1">
      <c r="A318" s="784"/>
      <c r="B318" s="850"/>
      <c r="C318" s="852"/>
      <c r="D318" s="580">
        <v>1</v>
      </c>
      <c r="E318" s="580">
        <v>1</v>
      </c>
      <c r="F318" s="750"/>
      <c r="G318" s="580">
        <v>1</v>
      </c>
      <c r="H318" s="719"/>
      <c r="I318" s="580" t="s">
        <v>212</v>
      </c>
      <c r="J318" s="584" t="s">
        <v>212</v>
      </c>
      <c r="K318" s="562">
        <v>2001</v>
      </c>
      <c r="L318" s="580" t="s">
        <v>275</v>
      </c>
      <c r="M318" s="740">
        <v>0</v>
      </c>
      <c r="N318" s="730">
        <v>19.812</v>
      </c>
      <c r="O318" s="585">
        <f t="shared" si="34"/>
        <v>0</v>
      </c>
      <c r="P318" s="740">
        <v>86.36</v>
      </c>
      <c r="Q318" s="756">
        <v>23.73</v>
      </c>
      <c r="R318" s="585">
        <f t="shared" si="35"/>
        <v>2049.3228</v>
      </c>
      <c r="S318" s="711">
        <f t="shared" si="36"/>
        <v>2049.3228</v>
      </c>
    </row>
    <row r="319" spans="1:19" s="698" customFormat="1" ht="15" customHeight="1">
      <c r="A319" s="784"/>
      <c r="B319" s="850"/>
      <c r="C319" s="851"/>
      <c r="D319" s="580">
        <v>1</v>
      </c>
      <c r="E319" s="580">
        <v>1</v>
      </c>
      <c r="F319" s="750"/>
      <c r="G319" s="580">
        <v>1</v>
      </c>
      <c r="H319" s="719"/>
      <c r="I319" s="580" t="s">
        <v>212</v>
      </c>
      <c r="J319" s="580" t="s">
        <v>212</v>
      </c>
      <c r="K319" s="562">
        <v>2001</v>
      </c>
      <c r="L319" s="580" t="s">
        <v>276</v>
      </c>
      <c r="M319" s="740">
        <v>134</v>
      </c>
      <c r="N319" s="730">
        <v>19.812</v>
      </c>
      <c r="O319" s="585">
        <f t="shared" si="34"/>
        <v>2654.808</v>
      </c>
      <c r="P319" s="740">
        <v>84.98</v>
      </c>
      <c r="Q319" s="756">
        <v>23.73</v>
      </c>
      <c r="R319" s="585">
        <f t="shared" si="35"/>
        <v>2016.5754000000002</v>
      </c>
      <c r="S319" s="711">
        <f t="shared" si="36"/>
        <v>4671.383400000001</v>
      </c>
    </row>
    <row r="320" spans="1:19" s="698" customFormat="1" ht="15" customHeight="1">
      <c r="A320" s="784"/>
      <c r="B320" s="850"/>
      <c r="C320" s="852"/>
      <c r="D320" s="580">
        <v>1</v>
      </c>
      <c r="E320" s="580">
        <v>1</v>
      </c>
      <c r="F320" s="750"/>
      <c r="G320" s="580">
        <v>1</v>
      </c>
      <c r="H320" s="719"/>
      <c r="I320" s="580" t="s">
        <v>212</v>
      </c>
      <c r="J320" s="580" t="s">
        <v>212</v>
      </c>
      <c r="K320" s="562">
        <v>2005</v>
      </c>
      <c r="L320" s="580" t="s">
        <v>275</v>
      </c>
      <c r="M320" s="740">
        <v>0</v>
      </c>
      <c r="N320" s="730">
        <v>19.812</v>
      </c>
      <c r="O320" s="585">
        <f t="shared" si="34"/>
        <v>0</v>
      </c>
      <c r="P320" s="740">
        <v>90.98</v>
      </c>
      <c r="Q320" s="756">
        <v>23.73</v>
      </c>
      <c r="R320" s="585">
        <f t="shared" si="35"/>
        <v>2158.9554000000003</v>
      </c>
      <c r="S320" s="711">
        <f t="shared" si="36"/>
        <v>2158.9554000000003</v>
      </c>
    </row>
    <row r="321" spans="1:19" s="698" customFormat="1" ht="15" customHeight="1">
      <c r="A321" s="784"/>
      <c r="B321" s="850"/>
      <c r="C321" s="851"/>
      <c r="D321" s="580">
        <v>1</v>
      </c>
      <c r="E321" s="580">
        <v>1</v>
      </c>
      <c r="F321" s="750"/>
      <c r="G321" s="580">
        <v>1</v>
      </c>
      <c r="H321" s="719"/>
      <c r="I321" s="580" t="s">
        <v>212</v>
      </c>
      <c r="J321" s="584" t="s">
        <v>212</v>
      </c>
      <c r="K321" s="562">
        <v>2005</v>
      </c>
      <c r="L321" s="580" t="s">
        <v>276</v>
      </c>
      <c r="M321" s="740">
        <v>321.5</v>
      </c>
      <c r="N321" s="730">
        <v>19.812</v>
      </c>
      <c r="O321" s="585">
        <f t="shared" si="34"/>
        <v>6369.558</v>
      </c>
      <c r="P321" s="740">
        <v>141.86</v>
      </c>
      <c r="Q321" s="756">
        <v>23.73</v>
      </c>
      <c r="R321" s="585">
        <f t="shared" si="35"/>
        <v>3366.3378000000002</v>
      </c>
      <c r="S321" s="711">
        <f t="shared" si="36"/>
        <v>9735.8958</v>
      </c>
    </row>
    <row r="322" spans="1:19" s="698" customFormat="1" ht="15" customHeight="1">
      <c r="A322" s="784"/>
      <c r="B322" s="784"/>
      <c r="C322" s="851"/>
      <c r="D322" s="580">
        <v>1</v>
      </c>
      <c r="E322" s="580">
        <v>1</v>
      </c>
      <c r="F322" s="580"/>
      <c r="G322" s="580">
        <v>1</v>
      </c>
      <c r="H322" s="580"/>
      <c r="I322" s="580" t="s">
        <v>212</v>
      </c>
      <c r="J322" s="584" t="s">
        <v>212</v>
      </c>
      <c r="K322" s="562">
        <v>1998</v>
      </c>
      <c r="L322" s="580" t="s">
        <v>276</v>
      </c>
      <c r="M322" s="740">
        <v>394</v>
      </c>
      <c r="N322" s="730">
        <v>19.812</v>
      </c>
      <c r="O322" s="585">
        <f t="shared" si="34"/>
        <v>7805.928000000001</v>
      </c>
      <c r="P322" s="740">
        <v>257.58</v>
      </c>
      <c r="Q322" s="756">
        <v>23.73</v>
      </c>
      <c r="R322" s="585">
        <f t="shared" si="35"/>
        <v>6112.3733999999995</v>
      </c>
      <c r="S322" s="711">
        <f t="shared" si="36"/>
        <v>13918.3014</v>
      </c>
    </row>
    <row r="323" spans="1:19" s="698" customFormat="1" ht="15" customHeight="1">
      <c r="A323" s="784"/>
      <c r="B323" s="850"/>
      <c r="C323" s="852"/>
      <c r="D323" s="580">
        <v>1</v>
      </c>
      <c r="E323" s="580">
        <v>1</v>
      </c>
      <c r="F323" s="750"/>
      <c r="G323" s="580">
        <v>1</v>
      </c>
      <c r="H323" s="719"/>
      <c r="I323" s="580" t="s">
        <v>212</v>
      </c>
      <c r="J323" s="584" t="s">
        <v>212</v>
      </c>
      <c r="K323" s="562">
        <v>2008</v>
      </c>
      <c r="L323" s="580" t="s">
        <v>275</v>
      </c>
      <c r="M323" s="740">
        <v>0</v>
      </c>
      <c r="N323" s="730">
        <v>19.812</v>
      </c>
      <c r="O323" s="585">
        <f t="shared" si="34"/>
        <v>0</v>
      </c>
      <c r="P323" s="740">
        <v>170.36</v>
      </c>
      <c r="Q323" s="756">
        <v>23.73</v>
      </c>
      <c r="R323" s="585">
        <f t="shared" si="35"/>
        <v>4042.6428000000005</v>
      </c>
      <c r="S323" s="711">
        <f t="shared" si="36"/>
        <v>4042.6428000000005</v>
      </c>
    </row>
    <row r="324" spans="1:19" s="698" customFormat="1" ht="15" customHeight="1">
      <c r="A324" s="784"/>
      <c r="B324" s="784"/>
      <c r="C324" s="851"/>
      <c r="D324" s="580">
        <v>1</v>
      </c>
      <c r="E324" s="580">
        <v>1</v>
      </c>
      <c r="F324" s="580"/>
      <c r="G324" s="580">
        <v>1</v>
      </c>
      <c r="H324" s="580"/>
      <c r="I324" s="580" t="s">
        <v>212</v>
      </c>
      <c r="J324" s="584" t="s">
        <v>212</v>
      </c>
      <c r="K324" s="562">
        <v>2004</v>
      </c>
      <c r="L324" s="580" t="s">
        <v>276</v>
      </c>
      <c r="M324" s="740">
        <v>301.5</v>
      </c>
      <c r="N324" s="730">
        <v>19.812</v>
      </c>
      <c r="O324" s="585">
        <f t="shared" si="34"/>
        <v>5973.318</v>
      </c>
      <c r="P324" s="740">
        <v>149.86</v>
      </c>
      <c r="Q324" s="756">
        <v>23.73</v>
      </c>
      <c r="R324" s="585">
        <f t="shared" si="35"/>
        <v>3556.1778000000004</v>
      </c>
      <c r="S324" s="711">
        <f t="shared" si="36"/>
        <v>9529.4958</v>
      </c>
    </row>
    <row r="325" spans="1:19" s="698" customFormat="1" ht="15" customHeight="1">
      <c r="A325" s="784"/>
      <c r="B325" s="784"/>
      <c r="C325" s="851"/>
      <c r="D325" s="580">
        <v>1</v>
      </c>
      <c r="E325" s="719"/>
      <c r="F325" s="580">
        <v>1</v>
      </c>
      <c r="G325" s="580">
        <v>1</v>
      </c>
      <c r="H325" s="719"/>
      <c r="I325" s="580" t="s">
        <v>212</v>
      </c>
      <c r="J325" s="584" t="s">
        <v>212</v>
      </c>
      <c r="K325" s="562">
        <v>2007</v>
      </c>
      <c r="L325" s="740" t="s">
        <v>366</v>
      </c>
      <c r="M325" s="740">
        <v>240</v>
      </c>
      <c r="N325" s="730">
        <v>19.812</v>
      </c>
      <c r="O325" s="585">
        <f t="shared" si="34"/>
        <v>4754.88</v>
      </c>
      <c r="P325" s="740">
        <v>0</v>
      </c>
      <c r="Q325" s="756">
        <v>23.73</v>
      </c>
      <c r="R325" s="585">
        <f t="shared" si="35"/>
        <v>0</v>
      </c>
      <c r="S325" s="711">
        <f t="shared" si="36"/>
        <v>4754.88</v>
      </c>
    </row>
    <row r="326" spans="1:19" s="698" customFormat="1" ht="15" customHeight="1">
      <c r="A326" s="784"/>
      <c r="B326" s="850"/>
      <c r="C326" s="852"/>
      <c r="D326" s="580">
        <v>1</v>
      </c>
      <c r="E326" s="580">
        <v>1</v>
      </c>
      <c r="F326" s="750"/>
      <c r="G326" s="580">
        <v>1</v>
      </c>
      <c r="H326" s="719"/>
      <c r="I326" s="580" t="s">
        <v>212</v>
      </c>
      <c r="J326" s="584" t="s">
        <v>212</v>
      </c>
      <c r="K326" s="562">
        <v>2006</v>
      </c>
      <c r="L326" s="580" t="s">
        <v>276</v>
      </c>
      <c r="M326" s="740">
        <v>0</v>
      </c>
      <c r="N326" s="730">
        <v>19.812</v>
      </c>
      <c r="O326" s="585">
        <f t="shared" si="34"/>
        <v>0</v>
      </c>
      <c r="P326" s="740">
        <v>82.36</v>
      </c>
      <c r="Q326" s="756">
        <v>23.73</v>
      </c>
      <c r="R326" s="585">
        <f t="shared" si="35"/>
        <v>1954.4028</v>
      </c>
      <c r="S326" s="711">
        <f t="shared" si="36"/>
        <v>1954.4028</v>
      </c>
    </row>
    <row r="327" spans="1:19" s="698" customFormat="1" ht="15" customHeight="1">
      <c r="A327" s="784"/>
      <c r="B327" s="784"/>
      <c r="C327" s="851"/>
      <c r="D327" s="580">
        <v>1</v>
      </c>
      <c r="E327" s="580">
        <v>1</v>
      </c>
      <c r="F327" s="750"/>
      <c r="G327" s="719"/>
      <c r="H327" s="580">
        <v>1</v>
      </c>
      <c r="I327" s="580" t="s">
        <v>223</v>
      </c>
      <c r="J327" s="584" t="s">
        <v>223</v>
      </c>
      <c r="K327" s="562">
        <v>1999</v>
      </c>
      <c r="L327" s="580" t="s">
        <v>276</v>
      </c>
      <c r="M327" s="740">
        <v>128</v>
      </c>
      <c r="N327" s="730">
        <v>19.812</v>
      </c>
      <c r="O327" s="585">
        <f t="shared" si="34"/>
        <v>2535.936</v>
      </c>
      <c r="P327" s="740">
        <v>91.36</v>
      </c>
      <c r="Q327" s="756">
        <v>23.73</v>
      </c>
      <c r="R327" s="585">
        <f t="shared" si="35"/>
        <v>2167.9728</v>
      </c>
      <c r="S327" s="585">
        <f t="shared" si="36"/>
        <v>4703.9088</v>
      </c>
    </row>
    <row r="328" spans="1:19" s="698" customFormat="1" ht="15" customHeight="1">
      <c r="A328" s="784"/>
      <c r="B328" s="850"/>
      <c r="C328" s="851"/>
      <c r="D328" s="580">
        <v>1</v>
      </c>
      <c r="E328" s="719"/>
      <c r="F328" s="580">
        <v>1</v>
      </c>
      <c r="G328" s="580">
        <v>1</v>
      </c>
      <c r="H328" s="719"/>
      <c r="I328" s="580" t="s">
        <v>212</v>
      </c>
      <c r="J328" s="580" t="s">
        <v>212</v>
      </c>
      <c r="K328" s="562">
        <v>1999</v>
      </c>
      <c r="L328" s="580" t="s">
        <v>276</v>
      </c>
      <c r="M328" s="740">
        <v>141</v>
      </c>
      <c r="N328" s="730">
        <v>19.812</v>
      </c>
      <c r="O328" s="585">
        <f t="shared" si="34"/>
        <v>2793.492</v>
      </c>
      <c r="P328" s="740">
        <v>86.98</v>
      </c>
      <c r="Q328" s="756">
        <v>23.73</v>
      </c>
      <c r="R328" s="585">
        <f t="shared" si="35"/>
        <v>2064.0354</v>
      </c>
      <c r="S328" s="585">
        <f t="shared" si="36"/>
        <v>4857.527400000001</v>
      </c>
    </row>
    <row r="329" spans="1:19" s="698" customFormat="1" ht="15" customHeight="1">
      <c r="A329" s="784"/>
      <c r="B329" s="850"/>
      <c r="C329" s="851"/>
      <c r="D329" s="580">
        <v>1</v>
      </c>
      <c r="E329" s="580">
        <v>1</v>
      </c>
      <c r="F329" s="580"/>
      <c r="G329" s="580">
        <v>1</v>
      </c>
      <c r="H329" s="580"/>
      <c r="I329" s="580" t="s">
        <v>212</v>
      </c>
      <c r="J329" s="580" t="s">
        <v>212</v>
      </c>
      <c r="K329" s="562">
        <v>2003</v>
      </c>
      <c r="L329" s="580" t="s">
        <v>276</v>
      </c>
      <c r="M329" s="740">
        <v>121.5</v>
      </c>
      <c r="N329" s="730">
        <v>19.812</v>
      </c>
      <c r="O329" s="585">
        <f t="shared" si="34"/>
        <v>2407.1580000000004</v>
      </c>
      <c r="P329" s="740">
        <v>91.48</v>
      </c>
      <c r="Q329" s="756">
        <v>23.73</v>
      </c>
      <c r="R329" s="585">
        <f t="shared" si="35"/>
        <v>2170.8204</v>
      </c>
      <c r="S329" s="585">
        <f t="shared" si="36"/>
        <v>4577.9784</v>
      </c>
    </row>
    <row r="330" spans="1:19" s="698" customFormat="1" ht="15" customHeight="1">
      <c r="A330" s="784"/>
      <c r="B330" s="784"/>
      <c r="C330" s="851"/>
      <c r="D330" s="580">
        <v>1</v>
      </c>
      <c r="E330" s="580"/>
      <c r="F330" s="580">
        <v>1</v>
      </c>
      <c r="G330" s="580">
        <v>1</v>
      </c>
      <c r="H330" s="580"/>
      <c r="I330" s="580" t="s">
        <v>212</v>
      </c>
      <c r="J330" s="584" t="s">
        <v>212</v>
      </c>
      <c r="K330" s="562">
        <v>1996</v>
      </c>
      <c r="L330" s="580" t="s">
        <v>275</v>
      </c>
      <c r="M330" s="740">
        <v>0</v>
      </c>
      <c r="N330" s="730">
        <v>19.812</v>
      </c>
      <c r="O330" s="585">
        <f t="shared" si="34"/>
        <v>0</v>
      </c>
      <c r="P330" s="740">
        <v>89.48</v>
      </c>
      <c r="Q330" s="756">
        <v>23.73</v>
      </c>
      <c r="R330" s="585">
        <f t="shared" si="35"/>
        <v>2123.3604</v>
      </c>
      <c r="S330" s="585">
        <f t="shared" si="36"/>
        <v>2123.3604</v>
      </c>
    </row>
    <row r="331" spans="1:19" s="698" customFormat="1" ht="15" customHeight="1">
      <c r="A331" s="784"/>
      <c r="B331" s="850"/>
      <c r="C331" s="852"/>
      <c r="D331" s="580">
        <v>1</v>
      </c>
      <c r="E331" s="719"/>
      <c r="F331" s="580">
        <v>1</v>
      </c>
      <c r="G331" s="719"/>
      <c r="H331" s="580">
        <v>1</v>
      </c>
      <c r="I331" s="580" t="s">
        <v>343</v>
      </c>
      <c r="J331" s="584" t="s">
        <v>343</v>
      </c>
      <c r="K331" s="562">
        <v>2001</v>
      </c>
      <c r="L331" s="580" t="s">
        <v>275</v>
      </c>
      <c r="M331" s="740">
        <v>0</v>
      </c>
      <c r="N331" s="730">
        <v>19.812</v>
      </c>
      <c r="O331" s="585">
        <f t="shared" si="34"/>
        <v>0</v>
      </c>
      <c r="P331" s="740">
        <v>88.48</v>
      </c>
      <c r="Q331" s="756">
        <v>23.73</v>
      </c>
      <c r="R331" s="585">
        <f t="shared" si="35"/>
        <v>2099.6304</v>
      </c>
      <c r="S331" s="585">
        <f t="shared" si="36"/>
        <v>2099.6304</v>
      </c>
    </row>
    <row r="332" spans="1:19" s="698" customFormat="1" ht="15" customHeight="1">
      <c r="A332" s="784"/>
      <c r="B332" s="784"/>
      <c r="C332" s="851"/>
      <c r="D332" s="580">
        <v>1</v>
      </c>
      <c r="E332" s="580"/>
      <c r="F332" s="580">
        <v>1</v>
      </c>
      <c r="G332" s="580">
        <v>1</v>
      </c>
      <c r="H332" s="580"/>
      <c r="I332" s="580" t="s">
        <v>212</v>
      </c>
      <c r="J332" s="584" t="s">
        <v>212</v>
      </c>
      <c r="K332" s="562">
        <v>1994</v>
      </c>
      <c r="L332" s="740" t="s">
        <v>444</v>
      </c>
      <c r="M332" s="740">
        <f>O332/N332</f>
        <v>249.92289708003779</v>
      </c>
      <c r="N332" s="730">
        <v>20.103</v>
      </c>
      <c r="O332" s="585">
        <v>5024.2</v>
      </c>
      <c r="P332" s="740">
        <f>3633.28/20.103</f>
        <v>180.7332238969308</v>
      </c>
      <c r="Q332" s="756">
        <v>20.103</v>
      </c>
      <c r="R332" s="585">
        <f t="shared" si="35"/>
        <v>3633.28</v>
      </c>
      <c r="S332" s="585">
        <f t="shared" si="36"/>
        <v>8657.48</v>
      </c>
    </row>
    <row r="333" spans="1:19" s="698" customFormat="1" ht="15" customHeight="1">
      <c r="A333" s="784"/>
      <c r="B333" s="850"/>
      <c r="C333" s="852"/>
      <c r="D333" s="580">
        <v>1</v>
      </c>
      <c r="E333" s="580">
        <v>1</v>
      </c>
      <c r="F333" s="750"/>
      <c r="G333" s="580"/>
      <c r="H333" s="580">
        <v>1</v>
      </c>
      <c r="I333" s="580" t="s">
        <v>212</v>
      </c>
      <c r="J333" s="750" t="s">
        <v>18</v>
      </c>
      <c r="K333" s="562">
        <v>2001</v>
      </c>
      <c r="L333" s="580" t="s">
        <v>276</v>
      </c>
      <c r="M333" s="740">
        <v>129</v>
      </c>
      <c r="N333" s="730">
        <v>19.812</v>
      </c>
      <c r="O333" s="585">
        <f aca="true" t="shared" si="37" ref="O333:O368">M333*N333</f>
        <v>2555.748</v>
      </c>
      <c r="P333" s="740">
        <v>85.36</v>
      </c>
      <c r="Q333" s="756">
        <v>23.73</v>
      </c>
      <c r="R333" s="585">
        <f t="shared" si="35"/>
        <v>2025.5928000000001</v>
      </c>
      <c r="S333" s="585">
        <f t="shared" si="36"/>
        <v>4581.3408</v>
      </c>
    </row>
    <row r="334" spans="1:19" s="698" customFormat="1" ht="15" customHeight="1">
      <c r="A334" s="784"/>
      <c r="B334" s="850"/>
      <c r="C334" s="852"/>
      <c r="D334" s="580">
        <v>1</v>
      </c>
      <c r="E334" s="719"/>
      <c r="F334" s="580">
        <v>1</v>
      </c>
      <c r="G334" s="580">
        <v>1</v>
      </c>
      <c r="H334" s="719"/>
      <c r="I334" s="580" t="s">
        <v>212</v>
      </c>
      <c r="J334" s="584" t="s">
        <v>212</v>
      </c>
      <c r="K334" s="562">
        <v>1994</v>
      </c>
      <c r="L334" s="580" t="s">
        <v>276</v>
      </c>
      <c r="M334" s="740">
        <v>344</v>
      </c>
      <c r="N334" s="730">
        <v>19.812</v>
      </c>
      <c r="O334" s="585">
        <f t="shared" si="37"/>
        <v>6815.328</v>
      </c>
      <c r="P334" s="740">
        <v>251.36</v>
      </c>
      <c r="Q334" s="756">
        <v>23.73</v>
      </c>
      <c r="R334" s="585">
        <f t="shared" si="35"/>
        <v>5964.772800000001</v>
      </c>
      <c r="S334" s="585">
        <f t="shared" si="36"/>
        <v>12780.1008</v>
      </c>
    </row>
    <row r="335" spans="1:19" s="698" customFormat="1" ht="15" customHeight="1">
      <c r="A335" s="784"/>
      <c r="B335" s="850"/>
      <c r="C335" s="852"/>
      <c r="D335" s="580">
        <v>1</v>
      </c>
      <c r="E335" s="580">
        <v>1</v>
      </c>
      <c r="F335" s="719"/>
      <c r="G335" s="580">
        <v>1</v>
      </c>
      <c r="H335" s="748"/>
      <c r="I335" s="580" t="s">
        <v>212</v>
      </c>
      <c r="J335" s="584" t="s">
        <v>212</v>
      </c>
      <c r="K335" s="562">
        <v>2009</v>
      </c>
      <c r="L335" s="580" t="s">
        <v>275</v>
      </c>
      <c r="M335" s="750">
        <v>0</v>
      </c>
      <c r="N335" s="730">
        <v>19.812</v>
      </c>
      <c r="O335" s="585">
        <f t="shared" si="37"/>
        <v>0</v>
      </c>
      <c r="P335" s="740">
        <v>135.1</v>
      </c>
      <c r="Q335" s="756">
        <v>23.73</v>
      </c>
      <c r="R335" s="585">
        <f t="shared" si="35"/>
        <v>3205.923</v>
      </c>
      <c r="S335" s="585">
        <f t="shared" si="36"/>
        <v>3205.923</v>
      </c>
    </row>
    <row r="336" spans="1:19" s="698" customFormat="1" ht="15" customHeight="1">
      <c r="A336" s="784"/>
      <c r="B336" s="784"/>
      <c r="C336" s="851"/>
      <c r="D336" s="580">
        <v>1</v>
      </c>
      <c r="E336" s="580">
        <v>1</v>
      </c>
      <c r="F336" s="580"/>
      <c r="G336" s="580">
        <v>1</v>
      </c>
      <c r="H336" s="580"/>
      <c r="I336" s="580" t="s">
        <v>212</v>
      </c>
      <c r="J336" s="584" t="s">
        <v>422</v>
      </c>
      <c r="K336" s="562">
        <v>1999</v>
      </c>
      <c r="L336" s="580" t="s">
        <v>358</v>
      </c>
      <c r="M336" s="740">
        <v>399</v>
      </c>
      <c r="N336" s="730">
        <v>19.812</v>
      </c>
      <c r="O336" s="585">
        <f t="shared" si="37"/>
        <v>7904.988</v>
      </c>
      <c r="P336" s="740">
        <f>130.36+132.48</f>
        <v>262.84000000000003</v>
      </c>
      <c r="Q336" s="756">
        <v>23.73</v>
      </c>
      <c r="R336" s="585">
        <f t="shared" si="35"/>
        <v>6237.193200000001</v>
      </c>
      <c r="S336" s="585">
        <f t="shared" si="36"/>
        <v>14142.1812</v>
      </c>
    </row>
    <row r="337" spans="1:19" s="698" customFormat="1" ht="15" customHeight="1">
      <c r="A337" s="784"/>
      <c r="B337" s="784"/>
      <c r="C337" s="851"/>
      <c r="D337" s="580">
        <v>1</v>
      </c>
      <c r="E337" s="580">
        <v>1</v>
      </c>
      <c r="F337" s="580"/>
      <c r="G337" s="580">
        <v>1</v>
      </c>
      <c r="H337" s="580"/>
      <c r="I337" s="580" t="s">
        <v>212</v>
      </c>
      <c r="J337" s="584" t="s">
        <v>422</v>
      </c>
      <c r="K337" s="562">
        <v>1996</v>
      </c>
      <c r="L337" s="580" t="s">
        <v>276</v>
      </c>
      <c r="M337" s="740">
        <v>331.5</v>
      </c>
      <c r="N337" s="730">
        <v>19.812</v>
      </c>
      <c r="O337" s="585">
        <f t="shared" si="37"/>
        <v>6567.678000000001</v>
      </c>
      <c r="P337" s="740">
        <f>172.48+79.98</f>
        <v>252.45999999999998</v>
      </c>
      <c r="Q337" s="756">
        <v>23.73</v>
      </c>
      <c r="R337" s="585">
        <f t="shared" si="35"/>
        <v>5990.8758</v>
      </c>
      <c r="S337" s="585">
        <f t="shared" si="36"/>
        <v>12558.553800000002</v>
      </c>
    </row>
    <row r="338" spans="1:19" s="698" customFormat="1" ht="15" customHeight="1">
      <c r="A338" s="784"/>
      <c r="B338" s="850"/>
      <c r="C338" s="852"/>
      <c r="D338" s="580">
        <v>1</v>
      </c>
      <c r="E338" s="580">
        <v>1</v>
      </c>
      <c r="F338" s="719"/>
      <c r="G338" s="580">
        <v>1</v>
      </c>
      <c r="H338" s="748"/>
      <c r="I338" s="580" t="s">
        <v>212</v>
      </c>
      <c r="J338" s="584" t="s">
        <v>422</v>
      </c>
      <c r="K338" s="580">
        <v>2009</v>
      </c>
      <c r="L338" s="580" t="s">
        <v>275</v>
      </c>
      <c r="M338" s="740">
        <v>0</v>
      </c>
      <c r="N338" s="730">
        <v>19.812</v>
      </c>
      <c r="O338" s="585">
        <f t="shared" si="37"/>
        <v>0</v>
      </c>
      <c r="P338" s="740">
        <v>207.48</v>
      </c>
      <c r="Q338" s="756">
        <v>23.73</v>
      </c>
      <c r="R338" s="585">
        <f t="shared" si="35"/>
        <v>4923.5004</v>
      </c>
      <c r="S338" s="585">
        <f t="shared" si="36"/>
        <v>4923.5004</v>
      </c>
    </row>
    <row r="339" spans="1:19" s="698" customFormat="1" ht="15" customHeight="1">
      <c r="A339" s="784"/>
      <c r="B339" s="850"/>
      <c r="C339" s="851"/>
      <c r="D339" s="580">
        <v>1</v>
      </c>
      <c r="E339" s="580"/>
      <c r="F339" s="580">
        <v>1</v>
      </c>
      <c r="G339" s="580">
        <v>1</v>
      </c>
      <c r="H339" s="580"/>
      <c r="I339" s="580" t="s">
        <v>212</v>
      </c>
      <c r="J339" s="580" t="s">
        <v>212</v>
      </c>
      <c r="K339" s="580">
        <v>2003</v>
      </c>
      <c r="L339" s="580" t="s">
        <v>276</v>
      </c>
      <c r="M339" s="740">
        <v>223</v>
      </c>
      <c r="N339" s="730">
        <v>19.812</v>
      </c>
      <c r="O339" s="585">
        <f t="shared" si="37"/>
        <v>4418.076</v>
      </c>
      <c r="P339" s="740">
        <v>116.73</v>
      </c>
      <c r="Q339" s="756">
        <v>23.73</v>
      </c>
      <c r="R339" s="585">
        <f t="shared" si="35"/>
        <v>2770.0029</v>
      </c>
      <c r="S339" s="585">
        <f t="shared" si="36"/>
        <v>7188.0789</v>
      </c>
    </row>
    <row r="340" spans="1:19" s="698" customFormat="1" ht="15" customHeight="1">
      <c r="A340" s="784"/>
      <c r="B340" s="850"/>
      <c r="C340" s="851"/>
      <c r="D340" s="580">
        <v>1</v>
      </c>
      <c r="E340" s="580">
        <v>1</v>
      </c>
      <c r="F340" s="719"/>
      <c r="G340" s="719"/>
      <c r="H340" s="580">
        <v>1</v>
      </c>
      <c r="I340" s="580" t="s">
        <v>212</v>
      </c>
      <c r="J340" s="719" t="s">
        <v>21</v>
      </c>
      <c r="K340" s="580">
        <v>1994</v>
      </c>
      <c r="L340" s="580" t="s">
        <v>276</v>
      </c>
      <c r="M340" s="740">
        <v>133.5</v>
      </c>
      <c r="N340" s="730">
        <v>19.812</v>
      </c>
      <c r="O340" s="585">
        <f t="shared" si="37"/>
        <v>2644.902</v>
      </c>
      <c r="P340" s="740">
        <v>129.34</v>
      </c>
      <c r="Q340" s="756">
        <v>23.73</v>
      </c>
      <c r="R340" s="585">
        <f t="shared" si="35"/>
        <v>3069.2382000000002</v>
      </c>
      <c r="S340" s="585">
        <f t="shared" si="36"/>
        <v>5714.1402</v>
      </c>
    </row>
    <row r="341" spans="1:19" s="698" customFormat="1" ht="15" customHeight="1">
      <c r="A341" s="784"/>
      <c r="B341" s="784"/>
      <c r="C341" s="851"/>
      <c r="D341" s="580">
        <v>1</v>
      </c>
      <c r="E341" s="580">
        <v>1</v>
      </c>
      <c r="F341" s="580"/>
      <c r="G341" s="580"/>
      <c r="H341" s="580">
        <v>1</v>
      </c>
      <c r="I341" s="580" t="s">
        <v>212</v>
      </c>
      <c r="J341" s="584" t="s">
        <v>18</v>
      </c>
      <c r="K341" s="562">
        <v>2004</v>
      </c>
      <c r="L341" s="580" t="s">
        <v>275</v>
      </c>
      <c r="M341" s="750">
        <v>0</v>
      </c>
      <c r="N341" s="730">
        <v>19.812</v>
      </c>
      <c r="O341" s="585">
        <f t="shared" si="37"/>
        <v>0</v>
      </c>
      <c r="P341" s="740">
        <v>76.23</v>
      </c>
      <c r="Q341" s="756">
        <v>23.73</v>
      </c>
      <c r="R341" s="585">
        <f t="shared" si="35"/>
        <v>1808.9379000000001</v>
      </c>
      <c r="S341" s="585">
        <f t="shared" si="36"/>
        <v>1808.9379000000001</v>
      </c>
    </row>
    <row r="342" spans="1:19" s="698" customFormat="1" ht="15" customHeight="1">
      <c r="A342" s="784"/>
      <c r="B342" s="850"/>
      <c r="C342" s="851"/>
      <c r="D342" s="580">
        <v>1</v>
      </c>
      <c r="E342" s="580">
        <v>1</v>
      </c>
      <c r="F342" s="580"/>
      <c r="G342" s="580">
        <v>1</v>
      </c>
      <c r="H342" s="580"/>
      <c r="I342" s="584" t="s">
        <v>212</v>
      </c>
      <c r="J342" s="584" t="s">
        <v>212</v>
      </c>
      <c r="K342" s="562">
        <v>2006</v>
      </c>
      <c r="L342" s="580" t="s">
        <v>276</v>
      </c>
      <c r="M342" s="740">
        <v>343</v>
      </c>
      <c r="N342" s="730">
        <v>19.812</v>
      </c>
      <c r="O342" s="585">
        <f t="shared" si="37"/>
        <v>6795.5160000000005</v>
      </c>
      <c r="P342" s="740">
        <v>155.36</v>
      </c>
      <c r="Q342" s="756">
        <v>23.73</v>
      </c>
      <c r="R342" s="585">
        <f t="shared" si="35"/>
        <v>3686.6928000000003</v>
      </c>
      <c r="S342" s="585">
        <f t="shared" si="36"/>
        <v>10482.2088</v>
      </c>
    </row>
    <row r="343" spans="1:19" s="698" customFormat="1" ht="15" customHeight="1">
      <c r="A343" s="784"/>
      <c r="B343" s="850"/>
      <c r="C343" s="852"/>
      <c r="D343" s="580">
        <v>1</v>
      </c>
      <c r="E343" s="580">
        <v>1</v>
      </c>
      <c r="F343" s="719"/>
      <c r="G343" s="580">
        <v>1</v>
      </c>
      <c r="H343" s="719"/>
      <c r="I343" s="584" t="s">
        <v>212</v>
      </c>
      <c r="J343" s="584" t="s">
        <v>212</v>
      </c>
      <c r="K343" s="562">
        <v>2001</v>
      </c>
      <c r="L343" s="580" t="s">
        <v>275</v>
      </c>
      <c r="M343" s="740">
        <v>0</v>
      </c>
      <c r="N343" s="730">
        <v>19.812</v>
      </c>
      <c r="O343" s="585">
        <f t="shared" si="37"/>
        <v>0</v>
      </c>
      <c r="P343" s="740">
        <v>85.98</v>
      </c>
      <c r="Q343" s="756">
        <v>23.73</v>
      </c>
      <c r="R343" s="585">
        <f t="shared" si="35"/>
        <v>2040.3054000000002</v>
      </c>
      <c r="S343" s="585">
        <f t="shared" si="36"/>
        <v>2040.3054000000002</v>
      </c>
    </row>
    <row r="344" spans="1:19" s="698" customFormat="1" ht="14.25" customHeight="1">
      <c r="A344" s="784"/>
      <c r="B344" s="784"/>
      <c r="C344" s="851"/>
      <c r="D344" s="580">
        <v>1</v>
      </c>
      <c r="E344" s="580">
        <v>1</v>
      </c>
      <c r="F344" s="580"/>
      <c r="G344" s="580">
        <v>1</v>
      </c>
      <c r="H344" s="580"/>
      <c r="I344" s="584" t="s">
        <v>212</v>
      </c>
      <c r="J344" s="584" t="s">
        <v>212</v>
      </c>
      <c r="K344" s="562">
        <v>2001</v>
      </c>
      <c r="L344" s="580" t="s">
        <v>276</v>
      </c>
      <c r="M344" s="740">
        <v>129</v>
      </c>
      <c r="N344" s="730">
        <v>19.812</v>
      </c>
      <c r="O344" s="585">
        <f t="shared" si="37"/>
        <v>2555.748</v>
      </c>
      <c r="P344" s="740">
        <v>78.98</v>
      </c>
      <c r="Q344" s="756">
        <v>23.73</v>
      </c>
      <c r="R344" s="585">
        <f t="shared" si="35"/>
        <v>1874.1954</v>
      </c>
      <c r="S344" s="585">
        <f t="shared" si="36"/>
        <v>4429.9434</v>
      </c>
    </row>
    <row r="345" spans="1:19" s="698" customFormat="1" ht="15" customHeight="1">
      <c r="A345" s="784"/>
      <c r="B345" s="784"/>
      <c r="C345" s="848"/>
      <c r="D345" s="580">
        <v>1</v>
      </c>
      <c r="E345" s="580"/>
      <c r="F345" s="580">
        <v>1</v>
      </c>
      <c r="G345" s="580">
        <v>1</v>
      </c>
      <c r="H345" s="580"/>
      <c r="I345" s="584" t="s">
        <v>212</v>
      </c>
      <c r="J345" s="584" t="s">
        <v>212</v>
      </c>
      <c r="K345" s="562">
        <v>2005</v>
      </c>
      <c r="L345" s="580" t="s">
        <v>276</v>
      </c>
      <c r="M345" s="740">
        <v>292</v>
      </c>
      <c r="N345" s="730">
        <v>19.812</v>
      </c>
      <c r="O345" s="585">
        <f t="shared" si="37"/>
        <v>5785.104</v>
      </c>
      <c r="P345" s="740">
        <f>154.48+56.23</f>
        <v>210.70999999999998</v>
      </c>
      <c r="Q345" s="756">
        <v>23.73</v>
      </c>
      <c r="R345" s="585">
        <f t="shared" si="35"/>
        <v>5000.1483</v>
      </c>
      <c r="S345" s="585">
        <f aca="true" t="shared" si="38" ref="S345:S368">O345+R345</f>
        <v>10785.2523</v>
      </c>
    </row>
    <row r="346" spans="1:19" s="731" customFormat="1" ht="15" customHeight="1">
      <c r="A346" s="784"/>
      <c r="B346" s="850"/>
      <c r="C346" s="848"/>
      <c r="D346" s="580">
        <v>1</v>
      </c>
      <c r="E346" s="580">
        <v>1</v>
      </c>
      <c r="F346" s="580"/>
      <c r="G346" s="580">
        <v>1</v>
      </c>
      <c r="H346" s="580"/>
      <c r="I346" s="580" t="s">
        <v>212</v>
      </c>
      <c r="J346" s="562" t="s">
        <v>212</v>
      </c>
      <c r="K346" s="580">
        <v>2004</v>
      </c>
      <c r="L346" s="580" t="s">
        <v>275</v>
      </c>
      <c r="M346" s="740">
        <v>0</v>
      </c>
      <c r="N346" s="730">
        <v>19.812</v>
      </c>
      <c r="O346" s="585">
        <f t="shared" si="37"/>
        <v>0</v>
      </c>
      <c r="P346" s="646">
        <v>82.36</v>
      </c>
      <c r="Q346" s="730">
        <v>23.73</v>
      </c>
      <c r="R346" s="586">
        <f t="shared" si="35"/>
        <v>1954.4028</v>
      </c>
      <c r="S346" s="586">
        <f t="shared" si="38"/>
        <v>1954.4028</v>
      </c>
    </row>
    <row r="347" spans="1:19" s="698" customFormat="1" ht="15" customHeight="1">
      <c r="A347" s="784"/>
      <c r="B347" s="850"/>
      <c r="C347" s="851"/>
      <c r="D347" s="580">
        <v>1</v>
      </c>
      <c r="E347" s="580">
        <v>1</v>
      </c>
      <c r="F347" s="719"/>
      <c r="G347" s="580">
        <v>1</v>
      </c>
      <c r="H347" s="719"/>
      <c r="I347" s="584" t="s">
        <v>172</v>
      </c>
      <c r="J347" s="584" t="s">
        <v>150</v>
      </c>
      <c r="K347" s="562">
        <v>1996</v>
      </c>
      <c r="L347" s="580" t="s">
        <v>276</v>
      </c>
      <c r="M347" s="740">
        <v>167.5</v>
      </c>
      <c r="N347" s="730">
        <v>19.812</v>
      </c>
      <c r="O347" s="585">
        <f t="shared" si="37"/>
        <v>3318.51</v>
      </c>
      <c r="P347" s="740">
        <v>100.73</v>
      </c>
      <c r="Q347" s="730">
        <v>23.73</v>
      </c>
      <c r="R347" s="586">
        <f t="shared" si="35"/>
        <v>2390.3229</v>
      </c>
      <c r="S347" s="586">
        <f t="shared" si="38"/>
        <v>5708.8329</v>
      </c>
    </row>
    <row r="348" spans="1:19" s="698" customFormat="1" ht="15" customHeight="1">
      <c r="A348" s="784"/>
      <c r="B348" s="850"/>
      <c r="C348" s="851"/>
      <c r="D348" s="580">
        <v>1</v>
      </c>
      <c r="E348" s="580">
        <v>1</v>
      </c>
      <c r="F348" s="580"/>
      <c r="G348" s="580">
        <v>1</v>
      </c>
      <c r="H348" s="580"/>
      <c r="I348" s="584" t="s">
        <v>212</v>
      </c>
      <c r="J348" s="584" t="s">
        <v>212</v>
      </c>
      <c r="K348" s="562">
        <v>2005</v>
      </c>
      <c r="L348" s="580" t="s">
        <v>276</v>
      </c>
      <c r="M348" s="740">
        <v>146</v>
      </c>
      <c r="N348" s="730">
        <v>19.812</v>
      </c>
      <c r="O348" s="585">
        <f t="shared" si="37"/>
        <v>2892.552</v>
      </c>
      <c r="P348" s="740">
        <v>83.6</v>
      </c>
      <c r="Q348" s="730">
        <v>23.73</v>
      </c>
      <c r="R348" s="586">
        <f t="shared" si="35"/>
        <v>1983.828</v>
      </c>
      <c r="S348" s="586">
        <f t="shared" si="38"/>
        <v>4876.38</v>
      </c>
    </row>
    <row r="349" spans="1:19" s="698" customFormat="1" ht="15" customHeight="1">
      <c r="A349" s="784"/>
      <c r="B349" s="850"/>
      <c r="C349" s="852"/>
      <c r="D349" s="580">
        <v>1</v>
      </c>
      <c r="E349" s="719"/>
      <c r="F349" s="580">
        <v>1</v>
      </c>
      <c r="G349" s="580">
        <v>1</v>
      </c>
      <c r="H349" s="719"/>
      <c r="I349" s="580" t="s">
        <v>212</v>
      </c>
      <c r="J349" s="562" t="s">
        <v>212</v>
      </c>
      <c r="K349" s="562">
        <v>2006</v>
      </c>
      <c r="L349" s="580" t="s">
        <v>276</v>
      </c>
      <c r="M349" s="740">
        <v>150.25</v>
      </c>
      <c r="N349" s="730">
        <v>19.812</v>
      </c>
      <c r="O349" s="585">
        <f t="shared" si="37"/>
        <v>2976.753</v>
      </c>
      <c r="P349" s="740">
        <v>161.98</v>
      </c>
      <c r="Q349" s="730">
        <v>23.73</v>
      </c>
      <c r="R349" s="586">
        <f t="shared" si="35"/>
        <v>3843.7853999999998</v>
      </c>
      <c r="S349" s="586">
        <f t="shared" si="38"/>
        <v>6820.5383999999995</v>
      </c>
    </row>
    <row r="350" spans="1:19" s="698" customFormat="1" ht="15" customHeight="1">
      <c r="A350" s="784"/>
      <c r="B350" s="850"/>
      <c r="C350" s="848"/>
      <c r="D350" s="580">
        <v>1</v>
      </c>
      <c r="E350" s="580">
        <v>1</v>
      </c>
      <c r="F350" s="580"/>
      <c r="G350" s="580">
        <v>1</v>
      </c>
      <c r="H350" s="580"/>
      <c r="I350" s="584" t="s">
        <v>212</v>
      </c>
      <c r="J350" s="584" t="s">
        <v>212</v>
      </c>
      <c r="K350" s="562">
        <v>2001</v>
      </c>
      <c r="L350" s="580" t="s">
        <v>276</v>
      </c>
      <c r="M350" s="740">
        <v>124</v>
      </c>
      <c r="N350" s="730">
        <v>19.812</v>
      </c>
      <c r="O350" s="585">
        <f t="shared" si="37"/>
        <v>2456.688</v>
      </c>
      <c r="P350" s="740">
        <v>109.62</v>
      </c>
      <c r="Q350" s="730">
        <v>23.73</v>
      </c>
      <c r="R350" s="586">
        <f t="shared" si="35"/>
        <v>2601.2826</v>
      </c>
      <c r="S350" s="586">
        <f t="shared" si="38"/>
        <v>5057.970600000001</v>
      </c>
    </row>
    <row r="351" spans="1:19" s="698" customFormat="1" ht="15" customHeight="1">
      <c r="A351" s="784"/>
      <c r="B351" s="784"/>
      <c r="C351" s="851"/>
      <c r="D351" s="580">
        <v>1</v>
      </c>
      <c r="E351" s="580">
        <v>1</v>
      </c>
      <c r="F351" s="580"/>
      <c r="G351" s="580">
        <v>1</v>
      </c>
      <c r="H351" s="580"/>
      <c r="I351" s="580" t="s">
        <v>456</v>
      </c>
      <c r="J351" s="584" t="s">
        <v>212</v>
      </c>
      <c r="K351" s="580">
        <v>1994</v>
      </c>
      <c r="L351" s="580" t="s">
        <v>276</v>
      </c>
      <c r="M351" s="740">
        <v>253.5</v>
      </c>
      <c r="N351" s="730">
        <v>19.812</v>
      </c>
      <c r="O351" s="585">
        <f t="shared" si="37"/>
        <v>5022.342000000001</v>
      </c>
      <c r="P351" s="740">
        <v>177.48</v>
      </c>
      <c r="Q351" s="730">
        <v>23.73</v>
      </c>
      <c r="R351" s="586">
        <f t="shared" si="35"/>
        <v>4211.6004</v>
      </c>
      <c r="S351" s="586">
        <f t="shared" si="38"/>
        <v>9233.9424</v>
      </c>
    </row>
    <row r="352" spans="1:19" s="698" customFormat="1" ht="15" customHeight="1">
      <c r="A352" s="857"/>
      <c r="B352" s="784"/>
      <c r="C352" s="851"/>
      <c r="D352" s="580">
        <v>1</v>
      </c>
      <c r="E352" s="580"/>
      <c r="F352" s="580">
        <v>1</v>
      </c>
      <c r="G352" s="580">
        <v>1</v>
      </c>
      <c r="H352" s="580"/>
      <c r="I352" s="584" t="s">
        <v>212</v>
      </c>
      <c r="J352" s="584" t="s">
        <v>212</v>
      </c>
      <c r="K352" s="562">
        <v>1999</v>
      </c>
      <c r="L352" s="580" t="s">
        <v>276</v>
      </c>
      <c r="M352" s="740">
        <v>638</v>
      </c>
      <c r="N352" s="730">
        <v>19.812</v>
      </c>
      <c r="O352" s="585">
        <f t="shared" si="37"/>
        <v>12640.056</v>
      </c>
      <c r="P352" s="740">
        <v>235.6</v>
      </c>
      <c r="Q352" s="730">
        <v>23.73</v>
      </c>
      <c r="R352" s="586">
        <f t="shared" si="35"/>
        <v>5590.788</v>
      </c>
      <c r="S352" s="586">
        <f t="shared" si="38"/>
        <v>18230.844</v>
      </c>
    </row>
    <row r="353" spans="1:19" s="698" customFormat="1" ht="15" customHeight="1">
      <c r="A353" s="784"/>
      <c r="B353" s="850"/>
      <c r="C353" s="852"/>
      <c r="D353" s="580">
        <v>1</v>
      </c>
      <c r="E353" s="580"/>
      <c r="F353" s="580">
        <v>1</v>
      </c>
      <c r="G353" s="580">
        <v>1</v>
      </c>
      <c r="H353" s="580"/>
      <c r="I353" s="584" t="s">
        <v>212</v>
      </c>
      <c r="J353" s="584" t="s">
        <v>212</v>
      </c>
      <c r="K353" s="562">
        <v>2007</v>
      </c>
      <c r="L353" s="580" t="s">
        <v>276</v>
      </c>
      <c r="M353" s="740">
        <v>188.75</v>
      </c>
      <c r="N353" s="730">
        <v>19.812</v>
      </c>
      <c r="O353" s="585">
        <f t="shared" si="37"/>
        <v>3739.5150000000003</v>
      </c>
      <c r="P353" s="740">
        <v>117.1</v>
      </c>
      <c r="Q353" s="730">
        <v>23.73</v>
      </c>
      <c r="R353" s="586">
        <f t="shared" si="35"/>
        <v>2778.783</v>
      </c>
      <c r="S353" s="586">
        <f t="shared" si="38"/>
        <v>6518.298000000001</v>
      </c>
    </row>
    <row r="354" spans="1:19" s="744" customFormat="1" ht="15" customHeight="1">
      <c r="A354" s="784"/>
      <c r="B354" s="784"/>
      <c r="C354" s="851"/>
      <c r="D354" s="580">
        <v>1</v>
      </c>
      <c r="E354" s="580">
        <v>1</v>
      </c>
      <c r="F354" s="580"/>
      <c r="G354" s="580">
        <v>1</v>
      </c>
      <c r="H354" s="580"/>
      <c r="I354" s="580" t="s">
        <v>212</v>
      </c>
      <c r="J354" s="584" t="s">
        <v>423</v>
      </c>
      <c r="K354" s="562">
        <v>2006</v>
      </c>
      <c r="L354" s="580" t="s">
        <v>276</v>
      </c>
      <c r="M354" s="740">
        <v>253.75</v>
      </c>
      <c r="N354" s="730">
        <v>19.812</v>
      </c>
      <c r="O354" s="585">
        <f t="shared" si="37"/>
        <v>5027.295</v>
      </c>
      <c r="P354" s="740">
        <v>221.21</v>
      </c>
      <c r="Q354" s="730">
        <v>23.73</v>
      </c>
      <c r="R354" s="586">
        <f t="shared" si="35"/>
        <v>5249.313300000001</v>
      </c>
      <c r="S354" s="586">
        <f t="shared" si="38"/>
        <v>10276.6083</v>
      </c>
    </row>
    <row r="355" spans="1:19" s="744" customFormat="1" ht="15" customHeight="1">
      <c r="A355" s="784"/>
      <c r="B355" s="784"/>
      <c r="C355" s="851"/>
      <c r="D355" s="580">
        <v>1</v>
      </c>
      <c r="E355" s="580">
        <v>1</v>
      </c>
      <c r="F355" s="580"/>
      <c r="G355" s="580">
        <v>1</v>
      </c>
      <c r="H355" s="580"/>
      <c r="I355" s="580" t="s">
        <v>212</v>
      </c>
      <c r="J355" s="584" t="s">
        <v>501</v>
      </c>
      <c r="K355" s="562">
        <v>1998</v>
      </c>
      <c r="L355" s="580" t="s">
        <v>276</v>
      </c>
      <c r="M355" s="740">
        <v>121</v>
      </c>
      <c r="N355" s="730">
        <v>19.812</v>
      </c>
      <c r="O355" s="585">
        <f t="shared" si="37"/>
        <v>2397.252</v>
      </c>
      <c r="P355" s="740">
        <v>79.86</v>
      </c>
      <c r="Q355" s="730">
        <v>23.73</v>
      </c>
      <c r="R355" s="586">
        <f t="shared" si="35"/>
        <v>1895.0778</v>
      </c>
      <c r="S355" s="586">
        <f t="shared" si="38"/>
        <v>4292.3297999999995</v>
      </c>
    </row>
    <row r="356" spans="1:19" s="744" customFormat="1" ht="15" customHeight="1">
      <c r="A356" s="784"/>
      <c r="B356" s="784"/>
      <c r="C356" s="851"/>
      <c r="D356" s="580">
        <v>1</v>
      </c>
      <c r="E356" s="580">
        <v>1</v>
      </c>
      <c r="F356" s="580"/>
      <c r="G356" s="580">
        <v>1</v>
      </c>
      <c r="H356" s="580"/>
      <c r="I356" s="584" t="s">
        <v>212</v>
      </c>
      <c r="J356" s="584" t="s">
        <v>212</v>
      </c>
      <c r="K356" s="562">
        <v>2001</v>
      </c>
      <c r="L356" s="580" t="s">
        <v>276</v>
      </c>
      <c r="M356" s="740">
        <v>246</v>
      </c>
      <c r="N356" s="730">
        <v>19.812</v>
      </c>
      <c r="O356" s="585">
        <f t="shared" si="37"/>
        <v>4873.752</v>
      </c>
      <c r="P356" s="740">
        <v>253.96</v>
      </c>
      <c r="Q356" s="730">
        <v>23.73</v>
      </c>
      <c r="R356" s="586">
        <f t="shared" si="35"/>
        <v>6026.4708</v>
      </c>
      <c r="S356" s="586">
        <f t="shared" si="38"/>
        <v>10900.2228</v>
      </c>
    </row>
    <row r="357" spans="1:19" s="744" customFormat="1" ht="15" customHeight="1">
      <c r="A357" s="784"/>
      <c r="B357" s="850"/>
      <c r="C357" s="852"/>
      <c r="D357" s="580">
        <v>1</v>
      </c>
      <c r="E357" s="580">
        <v>1</v>
      </c>
      <c r="F357" s="719"/>
      <c r="G357" s="580">
        <v>1</v>
      </c>
      <c r="H357" s="719"/>
      <c r="I357" s="584" t="s">
        <v>212</v>
      </c>
      <c r="J357" s="584" t="s">
        <v>212</v>
      </c>
      <c r="K357" s="562">
        <v>2002</v>
      </c>
      <c r="L357" s="580" t="s">
        <v>276</v>
      </c>
      <c r="M357" s="740">
        <v>137</v>
      </c>
      <c r="N357" s="730">
        <v>19.812</v>
      </c>
      <c r="O357" s="585">
        <f t="shared" si="37"/>
        <v>2714.244</v>
      </c>
      <c r="P357" s="740">
        <v>88.36</v>
      </c>
      <c r="Q357" s="730">
        <v>23.73</v>
      </c>
      <c r="R357" s="586">
        <f t="shared" si="35"/>
        <v>2096.7828</v>
      </c>
      <c r="S357" s="586">
        <f t="shared" si="38"/>
        <v>4811.0268</v>
      </c>
    </row>
    <row r="358" spans="1:19" s="744" customFormat="1" ht="15" customHeight="1">
      <c r="A358" s="784"/>
      <c r="B358" s="850"/>
      <c r="C358" s="851"/>
      <c r="D358" s="580">
        <v>1</v>
      </c>
      <c r="E358" s="580"/>
      <c r="F358" s="580">
        <v>1</v>
      </c>
      <c r="G358" s="580">
        <v>1</v>
      </c>
      <c r="H358" s="580"/>
      <c r="I358" s="580" t="s">
        <v>212</v>
      </c>
      <c r="J358" s="580" t="s">
        <v>212</v>
      </c>
      <c r="K358" s="580">
        <v>1999</v>
      </c>
      <c r="L358" s="580" t="s">
        <v>276</v>
      </c>
      <c r="M358" s="740">
        <v>129.5</v>
      </c>
      <c r="N358" s="730">
        <v>19.812</v>
      </c>
      <c r="O358" s="585">
        <f t="shared" si="37"/>
        <v>2565.654</v>
      </c>
      <c r="P358" s="740">
        <v>88.98</v>
      </c>
      <c r="Q358" s="730">
        <v>23.73</v>
      </c>
      <c r="R358" s="586">
        <f t="shared" si="35"/>
        <v>2111.4954000000002</v>
      </c>
      <c r="S358" s="586">
        <f t="shared" si="38"/>
        <v>4677.1494</v>
      </c>
    </row>
    <row r="359" spans="1:19" s="744" customFormat="1" ht="15" customHeight="1">
      <c r="A359" s="784"/>
      <c r="B359" s="850"/>
      <c r="C359" s="851"/>
      <c r="D359" s="580">
        <v>1</v>
      </c>
      <c r="E359" s="580">
        <v>1</v>
      </c>
      <c r="F359" s="719"/>
      <c r="G359" s="719"/>
      <c r="H359" s="580">
        <v>1</v>
      </c>
      <c r="I359" s="584" t="s">
        <v>226</v>
      </c>
      <c r="J359" s="584" t="s">
        <v>226</v>
      </c>
      <c r="K359" s="580">
        <v>1993</v>
      </c>
      <c r="L359" s="580" t="s">
        <v>276</v>
      </c>
      <c r="M359" s="740">
        <v>175.25</v>
      </c>
      <c r="N359" s="730">
        <v>19.812</v>
      </c>
      <c r="O359" s="585">
        <f t="shared" si="37"/>
        <v>3472.0530000000003</v>
      </c>
      <c r="P359" s="740">
        <v>153.36</v>
      </c>
      <c r="Q359" s="730">
        <v>23.73</v>
      </c>
      <c r="R359" s="586">
        <f t="shared" si="35"/>
        <v>3639.2328</v>
      </c>
      <c r="S359" s="586">
        <f t="shared" si="38"/>
        <v>7111.285800000001</v>
      </c>
    </row>
    <row r="360" spans="1:19" s="744" customFormat="1" ht="15" customHeight="1">
      <c r="A360" s="784"/>
      <c r="B360" s="850"/>
      <c r="C360" s="851"/>
      <c r="D360" s="580">
        <v>1</v>
      </c>
      <c r="E360" s="580">
        <v>1</v>
      </c>
      <c r="F360" s="580"/>
      <c r="G360" s="580">
        <v>1</v>
      </c>
      <c r="H360" s="582"/>
      <c r="I360" s="584" t="s">
        <v>212</v>
      </c>
      <c r="J360" s="584" t="s">
        <v>212</v>
      </c>
      <c r="K360" s="562">
        <v>2001</v>
      </c>
      <c r="L360" s="580" t="s">
        <v>276</v>
      </c>
      <c r="M360" s="740">
        <v>134.5</v>
      </c>
      <c r="N360" s="730">
        <v>19.812</v>
      </c>
      <c r="O360" s="585">
        <f t="shared" si="37"/>
        <v>2664.714</v>
      </c>
      <c r="P360" s="740">
        <v>97.73</v>
      </c>
      <c r="Q360" s="730">
        <v>23.73</v>
      </c>
      <c r="R360" s="586">
        <f>P360*Q361</f>
        <v>2319.1329</v>
      </c>
      <c r="S360" s="586">
        <f t="shared" si="38"/>
        <v>4983.8469000000005</v>
      </c>
    </row>
    <row r="361" spans="1:19" s="744" customFormat="1" ht="15" customHeight="1">
      <c r="A361" s="784"/>
      <c r="B361" s="850"/>
      <c r="C361" s="851"/>
      <c r="D361" s="580">
        <v>1</v>
      </c>
      <c r="E361" s="580">
        <v>1</v>
      </c>
      <c r="F361" s="719"/>
      <c r="G361" s="580">
        <v>1</v>
      </c>
      <c r="H361" s="719"/>
      <c r="I361" s="584" t="s">
        <v>212</v>
      </c>
      <c r="J361" s="584" t="s">
        <v>212</v>
      </c>
      <c r="K361" s="562">
        <v>1993</v>
      </c>
      <c r="L361" s="580" t="s">
        <v>276</v>
      </c>
      <c r="M361" s="740">
        <v>128.75</v>
      </c>
      <c r="N361" s="730">
        <v>19.812</v>
      </c>
      <c r="O361" s="585">
        <f t="shared" si="37"/>
        <v>2550.795</v>
      </c>
      <c r="P361" s="740">
        <v>0</v>
      </c>
      <c r="Q361" s="730">
        <v>23.73</v>
      </c>
      <c r="R361" s="586">
        <f>P361*Q362</f>
        <v>0</v>
      </c>
      <c r="S361" s="586">
        <f t="shared" si="38"/>
        <v>2550.795</v>
      </c>
    </row>
    <row r="362" spans="1:19" s="744" customFormat="1" ht="15" customHeight="1">
      <c r="A362" s="1145" t="s">
        <v>293</v>
      </c>
      <c r="B362" s="1146"/>
      <c r="C362" s="581"/>
      <c r="D362" s="580"/>
      <c r="E362" s="719"/>
      <c r="F362" s="719"/>
      <c r="G362" s="719"/>
      <c r="H362" s="748"/>
      <c r="I362" s="750"/>
      <c r="J362" s="719"/>
      <c r="K362" s="719"/>
      <c r="L362" s="580" t="s">
        <v>275</v>
      </c>
      <c r="M362" s="740">
        <v>0</v>
      </c>
      <c r="N362" s="730">
        <v>19.812</v>
      </c>
      <c r="O362" s="585">
        <f t="shared" si="37"/>
        <v>0</v>
      </c>
      <c r="P362" s="740">
        <v>47.5</v>
      </c>
      <c r="Q362" s="730">
        <v>23.73</v>
      </c>
      <c r="R362" s="586">
        <f aca="true" t="shared" si="39" ref="R362:R368">P362*Q362</f>
        <v>1127.175</v>
      </c>
      <c r="S362" s="586">
        <f t="shared" si="38"/>
        <v>1127.175</v>
      </c>
    </row>
    <row r="363" spans="1:19" s="744" customFormat="1" ht="15" customHeight="1">
      <c r="A363" s="1145" t="s">
        <v>294</v>
      </c>
      <c r="B363" s="1146"/>
      <c r="C363" s="581"/>
      <c r="D363" s="580"/>
      <c r="E363" s="719"/>
      <c r="F363" s="719"/>
      <c r="G363" s="719"/>
      <c r="H363" s="748"/>
      <c r="I363" s="750"/>
      <c r="J363" s="719"/>
      <c r="K363" s="719"/>
      <c r="L363" s="580" t="s">
        <v>276</v>
      </c>
      <c r="M363" s="740">
        <v>169</v>
      </c>
      <c r="N363" s="730">
        <v>19.812</v>
      </c>
      <c r="O363" s="585">
        <f t="shared" si="37"/>
        <v>3348.228</v>
      </c>
      <c r="P363" s="740">
        <v>0</v>
      </c>
      <c r="Q363" s="730">
        <v>23.73</v>
      </c>
      <c r="R363" s="586">
        <f t="shared" si="39"/>
        <v>0</v>
      </c>
      <c r="S363" s="586">
        <f t="shared" si="38"/>
        <v>3348.228</v>
      </c>
    </row>
    <row r="364" spans="1:19" s="744" customFormat="1" ht="15" customHeight="1">
      <c r="A364" s="1145" t="s">
        <v>295</v>
      </c>
      <c r="B364" s="1146"/>
      <c r="C364" s="581"/>
      <c r="D364" s="580"/>
      <c r="E364" s="719"/>
      <c r="F364" s="719"/>
      <c r="G364" s="719"/>
      <c r="H364" s="748"/>
      <c r="I364" s="750"/>
      <c r="J364" s="719"/>
      <c r="K364" s="719"/>
      <c r="L364" s="580" t="s">
        <v>276</v>
      </c>
      <c r="M364" s="740">
        <v>154.5</v>
      </c>
      <c r="N364" s="730">
        <v>19.812</v>
      </c>
      <c r="O364" s="585">
        <f t="shared" si="37"/>
        <v>3060.954</v>
      </c>
      <c r="P364" s="740">
        <v>0</v>
      </c>
      <c r="Q364" s="730">
        <v>23.73</v>
      </c>
      <c r="R364" s="586">
        <f t="shared" si="39"/>
        <v>0</v>
      </c>
      <c r="S364" s="586">
        <f t="shared" si="38"/>
        <v>3060.954</v>
      </c>
    </row>
    <row r="365" spans="1:19" s="744" customFormat="1" ht="15" customHeight="1">
      <c r="A365" s="1145" t="s">
        <v>361</v>
      </c>
      <c r="B365" s="1146"/>
      <c r="C365" s="581"/>
      <c r="D365" s="580"/>
      <c r="E365" s="719"/>
      <c r="F365" s="748"/>
      <c r="G365" s="719"/>
      <c r="H365" s="748"/>
      <c r="I365" s="750"/>
      <c r="J365" s="719"/>
      <c r="K365" s="719"/>
      <c r="L365" s="580" t="s">
        <v>275</v>
      </c>
      <c r="M365" s="740">
        <v>0</v>
      </c>
      <c r="N365" s="730">
        <v>19.812</v>
      </c>
      <c r="O365" s="585">
        <f t="shared" si="37"/>
        <v>0</v>
      </c>
      <c r="P365" s="740">
        <v>88</v>
      </c>
      <c r="Q365" s="730">
        <v>23.73</v>
      </c>
      <c r="R365" s="586">
        <f t="shared" si="39"/>
        <v>2088.2400000000002</v>
      </c>
      <c r="S365" s="586">
        <f t="shared" si="38"/>
        <v>2088.2400000000002</v>
      </c>
    </row>
    <row r="366" spans="1:19" s="698" customFormat="1" ht="15" customHeight="1">
      <c r="A366" s="1145" t="s">
        <v>290</v>
      </c>
      <c r="B366" s="1146"/>
      <c r="C366" s="578"/>
      <c r="D366" s="719"/>
      <c r="E366" s="719"/>
      <c r="F366" s="719"/>
      <c r="G366" s="719"/>
      <c r="H366" s="719"/>
      <c r="I366" s="750"/>
      <c r="J366" s="719"/>
      <c r="K366" s="719"/>
      <c r="L366" s="580" t="s">
        <v>276</v>
      </c>
      <c r="M366" s="740">
        <v>25.06</v>
      </c>
      <c r="N366" s="730">
        <v>19.812</v>
      </c>
      <c r="O366" s="585">
        <f t="shared" si="37"/>
        <v>496.48872</v>
      </c>
      <c r="P366" s="740">
        <v>28.25</v>
      </c>
      <c r="Q366" s="730">
        <v>23.73</v>
      </c>
      <c r="R366" s="586">
        <f t="shared" si="39"/>
        <v>670.3725000000001</v>
      </c>
      <c r="S366" s="586">
        <f t="shared" si="38"/>
        <v>1166.86122</v>
      </c>
    </row>
    <row r="367" spans="1:19" s="698" customFormat="1" ht="15" customHeight="1">
      <c r="A367" s="1145" t="s">
        <v>34</v>
      </c>
      <c r="B367" s="1146"/>
      <c r="C367" s="578"/>
      <c r="D367" s="719"/>
      <c r="E367" s="719"/>
      <c r="F367" s="719"/>
      <c r="G367" s="719"/>
      <c r="H367" s="719"/>
      <c r="I367" s="750"/>
      <c r="J367" s="719"/>
      <c r="K367" s="719"/>
      <c r="L367" s="580" t="s">
        <v>276</v>
      </c>
      <c r="M367" s="740">
        <v>165</v>
      </c>
      <c r="N367" s="730">
        <v>19.812</v>
      </c>
      <c r="O367" s="585">
        <f t="shared" si="37"/>
        <v>3268.98</v>
      </c>
      <c r="P367" s="740">
        <v>113</v>
      </c>
      <c r="Q367" s="730">
        <v>23.73</v>
      </c>
      <c r="R367" s="586">
        <f t="shared" si="39"/>
        <v>2681.4900000000002</v>
      </c>
      <c r="S367" s="586">
        <f t="shared" si="38"/>
        <v>5950.47</v>
      </c>
    </row>
    <row r="368" spans="1:20" s="698" customFormat="1" ht="15" customHeight="1">
      <c r="A368" s="1145" t="s">
        <v>224</v>
      </c>
      <c r="B368" s="1146"/>
      <c r="C368" s="578"/>
      <c r="D368" s="719"/>
      <c r="E368" s="719"/>
      <c r="F368" s="719"/>
      <c r="G368" s="719"/>
      <c r="H368" s="719"/>
      <c r="I368" s="750"/>
      <c r="J368" s="719"/>
      <c r="K368" s="719"/>
      <c r="L368" s="580" t="s">
        <v>276</v>
      </c>
      <c r="M368" s="740">
        <v>96.39</v>
      </c>
      <c r="N368" s="730">
        <v>19.812</v>
      </c>
      <c r="O368" s="585">
        <f t="shared" si="37"/>
        <v>1909.6786800000002</v>
      </c>
      <c r="P368" s="740">
        <v>77</v>
      </c>
      <c r="Q368" s="730">
        <v>23.73</v>
      </c>
      <c r="R368" s="586">
        <f t="shared" si="39"/>
        <v>1827.21</v>
      </c>
      <c r="S368" s="586">
        <f t="shared" si="38"/>
        <v>3736.88868</v>
      </c>
      <c r="T368" s="747"/>
    </row>
    <row r="369" spans="1:19" s="698" customFormat="1" ht="15" customHeight="1">
      <c r="A369" s="1145" t="s">
        <v>81</v>
      </c>
      <c r="B369" s="1146"/>
      <c r="C369" s="578"/>
      <c r="D369" s="719"/>
      <c r="E369" s="719"/>
      <c r="F369" s="719"/>
      <c r="G369" s="719"/>
      <c r="H369" s="719"/>
      <c r="I369" s="750"/>
      <c r="J369" s="719"/>
      <c r="K369" s="719"/>
      <c r="L369" s="740"/>
      <c r="M369" s="740"/>
      <c r="N369" s="730"/>
      <c r="O369" s="585"/>
      <c r="P369" s="740"/>
      <c r="Q369" s="730"/>
      <c r="R369" s="586"/>
      <c r="S369" s="586">
        <v>18.3</v>
      </c>
    </row>
    <row r="370" spans="1:19" s="698" customFormat="1" ht="15" customHeight="1">
      <c r="A370" s="1147" t="s">
        <v>80</v>
      </c>
      <c r="B370" s="1148"/>
      <c r="C370" s="578"/>
      <c r="D370" s="719"/>
      <c r="E370" s="719"/>
      <c r="F370" s="719"/>
      <c r="G370" s="719"/>
      <c r="H370" s="719"/>
      <c r="I370" s="750"/>
      <c r="J370" s="719"/>
      <c r="K370" s="719"/>
      <c r="L370" s="740"/>
      <c r="M370" s="740"/>
      <c r="N370" s="730"/>
      <c r="O370" s="585"/>
      <c r="P370" s="740"/>
      <c r="Q370" s="730"/>
      <c r="R370" s="586"/>
      <c r="S370" s="586">
        <v>2463.03</v>
      </c>
    </row>
    <row r="371" spans="1:19" s="698" customFormat="1" ht="15" customHeight="1">
      <c r="A371" s="1145" t="s">
        <v>515</v>
      </c>
      <c r="B371" s="1146"/>
      <c r="C371" s="578"/>
      <c r="D371" s="719"/>
      <c r="E371" s="719"/>
      <c r="F371" s="719"/>
      <c r="G371" s="719"/>
      <c r="H371" s="719"/>
      <c r="I371" s="750"/>
      <c r="J371" s="719"/>
      <c r="K371" s="719"/>
      <c r="L371" s="740"/>
      <c r="M371" s="740"/>
      <c r="N371" s="730"/>
      <c r="O371" s="585"/>
      <c r="P371" s="740"/>
      <c r="Q371" s="730"/>
      <c r="R371" s="586"/>
      <c r="S371" s="586">
        <f>-112.11</f>
        <v>-112.11</v>
      </c>
    </row>
    <row r="372" spans="1:19" s="698" customFormat="1" ht="15" customHeight="1">
      <c r="A372" s="1147" t="s">
        <v>51</v>
      </c>
      <c r="B372" s="1148"/>
      <c r="C372" s="578"/>
      <c r="D372" s="719"/>
      <c r="E372" s="719"/>
      <c r="F372" s="719"/>
      <c r="G372" s="719"/>
      <c r="H372" s="719"/>
      <c r="I372" s="750"/>
      <c r="J372" s="719"/>
      <c r="K372" s="719"/>
      <c r="L372" s="740"/>
      <c r="M372" s="740"/>
      <c r="N372" s="730"/>
      <c r="O372" s="585"/>
      <c r="P372" s="740"/>
      <c r="Q372" s="730"/>
      <c r="R372" s="586"/>
      <c r="S372" s="586">
        <f>43783.98*4-156890.9</f>
        <v>18245.02000000002</v>
      </c>
    </row>
    <row r="373" spans="1:20" s="716" customFormat="1" ht="15" customHeight="1">
      <c r="A373" s="1141" t="s">
        <v>328</v>
      </c>
      <c r="B373" s="1141"/>
      <c r="C373" s="527"/>
      <c r="D373" s="526">
        <f>SUM(D313:D372)</f>
        <v>49</v>
      </c>
      <c r="E373" s="526">
        <f>SUM(E313:E372)</f>
        <v>36</v>
      </c>
      <c r="F373" s="526">
        <f>SUM(F313:F372)</f>
        <v>13</v>
      </c>
      <c r="G373" s="526">
        <f>SUM(G313:G372)</f>
        <v>43</v>
      </c>
      <c r="H373" s="526">
        <f>SUM(H313:H372)</f>
        <v>6</v>
      </c>
      <c r="I373" s="713"/>
      <c r="J373" s="554"/>
      <c r="K373" s="554"/>
      <c r="L373" s="714"/>
      <c r="M373" s="714">
        <f>SUM(M313:M372)</f>
        <v>8740.372897080037</v>
      </c>
      <c r="N373" s="758"/>
      <c r="O373" s="550">
        <f>SUM(O313:O372)</f>
        <v>173236.99540000013</v>
      </c>
      <c r="P373" s="714">
        <f>SUM(P313:P372)</f>
        <v>6792.233223896928</v>
      </c>
      <c r="Q373" s="758"/>
      <c r="R373" s="550">
        <f>SUM(R313:R372)</f>
        <v>160524.17499999996</v>
      </c>
      <c r="S373" s="550">
        <f>SUM(S313:S372)</f>
        <v>354375.4104</v>
      </c>
      <c r="T373" s="715"/>
    </row>
    <row r="374" spans="1:21" s="722" customFormat="1" ht="15" customHeight="1">
      <c r="A374" s="1143" t="s">
        <v>227</v>
      </c>
      <c r="B374" s="1143"/>
      <c r="C374" s="556"/>
      <c r="D374" s="556">
        <f>D373+D310+D300+D251+D218+D182+D151+D134+D38</f>
        <v>281</v>
      </c>
      <c r="E374" s="556">
        <f>E373+E310+E300+E251+E218+E182+E151+E134+E38</f>
        <v>195</v>
      </c>
      <c r="F374" s="556">
        <f>F373+F310+F300+F251+F218+F182+F151+F134+F38</f>
        <v>86</v>
      </c>
      <c r="G374" s="556">
        <f>G373+G310+G300+G251+G218+G182+G151+G134+G38</f>
        <v>225</v>
      </c>
      <c r="H374" s="556">
        <f>H373+H310+H300+H251+H218+H182+H151+H134+H38</f>
        <v>56</v>
      </c>
      <c r="I374" s="556"/>
      <c r="J374" s="556"/>
      <c r="K374" s="556"/>
      <c r="L374" s="721"/>
      <c r="M374" s="679">
        <f>M24+M115+M139+M172+M213+M255+M313+M322+M373</f>
        <v>10207.782897080036</v>
      </c>
      <c r="N374" s="548"/>
      <c r="O374" s="558">
        <f>O373+O310+O300+O251+O218+O182+O151+O134+O38</f>
        <v>1049511.7050816002</v>
      </c>
      <c r="P374" s="679">
        <f>P24+P115+P139+P172+P213+P255+P313+P322+P373</f>
        <v>8058.3232238969285</v>
      </c>
      <c r="Q374" s="548"/>
      <c r="R374" s="558">
        <f>R373+R310+R300+R251+R218+R182+R151+R134+R38</f>
        <v>809890.7773999999</v>
      </c>
      <c r="S374" s="558">
        <f>S373+S310+S300+S251+S218+S182+S151+S134+S38</f>
        <v>1976746.4924816</v>
      </c>
      <c r="U374" s="723"/>
    </row>
    <row r="375" spans="1:19" s="559" customFormat="1" ht="15" customHeight="1">
      <c r="A375" s="1140" t="s">
        <v>362</v>
      </c>
      <c r="B375" s="1140"/>
      <c r="C375" s="638"/>
      <c r="D375" s="707"/>
      <c r="E375" s="708"/>
      <c r="F375" s="708"/>
      <c r="G375" s="708"/>
      <c r="H375" s="708"/>
      <c r="I375" s="709"/>
      <c r="J375" s="708"/>
      <c r="K375" s="708"/>
      <c r="L375" s="661"/>
      <c r="M375" s="709"/>
      <c r="N375" s="754"/>
      <c r="O375" s="661"/>
      <c r="P375" s="661"/>
      <c r="Q375" s="754"/>
      <c r="R375" s="710"/>
      <c r="S375" s="710"/>
    </row>
    <row r="376" spans="1:19" s="760" customFormat="1" ht="15" customHeight="1">
      <c r="A376" s="784"/>
      <c r="B376" s="784"/>
      <c r="C376" s="848"/>
      <c r="D376" s="580">
        <v>1</v>
      </c>
      <c r="E376" s="580">
        <v>1</v>
      </c>
      <c r="F376" s="759"/>
      <c r="G376" s="580">
        <v>1</v>
      </c>
      <c r="H376" s="759"/>
      <c r="I376" s="584" t="s">
        <v>212</v>
      </c>
      <c r="J376" s="584" t="s">
        <v>212</v>
      </c>
      <c r="K376" s="759"/>
      <c r="L376" s="580" t="s">
        <v>288</v>
      </c>
      <c r="M376" s="740">
        <v>205.5</v>
      </c>
      <c r="N376" s="730">
        <v>20.384</v>
      </c>
      <c r="O376" s="585">
        <f>M376*N376</f>
        <v>4188.912</v>
      </c>
      <c r="P376" s="740">
        <v>112</v>
      </c>
      <c r="Q376" s="730">
        <v>23.73</v>
      </c>
      <c r="R376" s="586">
        <f>P376*Q376</f>
        <v>2657.76</v>
      </c>
      <c r="S376" s="586">
        <f>O376+R376</f>
        <v>6846.6720000000005</v>
      </c>
    </row>
    <row r="377" spans="1:19" s="760" customFormat="1" ht="15" customHeight="1">
      <c r="A377" s="784"/>
      <c r="B377" s="784"/>
      <c r="C377" s="848"/>
      <c r="D377" s="580">
        <v>1</v>
      </c>
      <c r="E377" s="580">
        <v>1</v>
      </c>
      <c r="F377" s="759"/>
      <c r="G377" s="580">
        <v>1</v>
      </c>
      <c r="H377" s="759"/>
      <c r="I377" s="584" t="s">
        <v>212</v>
      </c>
      <c r="J377" s="584" t="s">
        <v>212</v>
      </c>
      <c r="K377" s="759"/>
      <c r="L377" s="580" t="s">
        <v>276</v>
      </c>
      <c r="M377" s="740">
        <v>202.75</v>
      </c>
      <c r="N377" s="730">
        <v>20.384</v>
      </c>
      <c r="O377" s="585">
        <f>M377*N377</f>
        <v>4132.856</v>
      </c>
      <c r="P377" s="740">
        <v>134.5</v>
      </c>
      <c r="Q377" s="730">
        <v>23.73</v>
      </c>
      <c r="R377" s="586">
        <f>P377*Q377</f>
        <v>3191.685</v>
      </c>
      <c r="S377" s="586">
        <f>O377+R377</f>
        <v>7324.540999999999</v>
      </c>
    </row>
    <row r="378" spans="1:19" s="698" customFormat="1" ht="15" customHeight="1">
      <c r="A378" s="784"/>
      <c r="B378" s="850"/>
      <c r="C378" s="848"/>
      <c r="D378" s="580">
        <v>1</v>
      </c>
      <c r="E378" s="580">
        <v>1</v>
      </c>
      <c r="F378" s="719"/>
      <c r="G378" s="580">
        <v>1</v>
      </c>
      <c r="H378" s="719"/>
      <c r="I378" s="584" t="s">
        <v>212</v>
      </c>
      <c r="J378" s="584" t="s">
        <v>212</v>
      </c>
      <c r="K378" s="719"/>
      <c r="L378" s="580" t="s">
        <v>276</v>
      </c>
      <c r="M378" s="646">
        <v>134</v>
      </c>
      <c r="N378" s="730">
        <v>20.384</v>
      </c>
      <c r="O378" s="586">
        <f>M378*N378</f>
        <v>2731.456</v>
      </c>
      <c r="P378" s="740">
        <v>85.48</v>
      </c>
      <c r="Q378" s="730">
        <v>23.73</v>
      </c>
      <c r="R378" s="586">
        <f>P378*Q378</f>
        <v>2028.4404000000002</v>
      </c>
      <c r="S378" s="586">
        <v>2159.43</v>
      </c>
    </row>
    <row r="379" spans="1:20" s="760" customFormat="1" ht="15" customHeight="1">
      <c r="A379" s="1147" t="s">
        <v>51</v>
      </c>
      <c r="B379" s="1148"/>
      <c r="C379" s="761"/>
      <c r="D379" s="580"/>
      <c r="E379" s="759"/>
      <c r="F379" s="759"/>
      <c r="G379" s="759"/>
      <c r="H379" s="759"/>
      <c r="I379" s="759"/>
      <c r="J379" s="759"/>
      <c r="K379" s="759"/>
      <c r="L379" s="759"/>
      <c r="M379" s="740"/>
      <c r="N379" s="730"/>
      <c r="O379" s="585"/>
      <c r="P379" s="740"/>
      <c r="Q379" s="730"/>
      <c r="R379" s="586"/>
      <c r="S379" s="586">
        <f>1689.41*4-2657.76-3191.69</f>
        <v>908.19</v>
      </c>
      <c r="T379" s="762"/>
    </row>
    <row r="380" spans="1:21" s="722" customFormat="1" ht="15" customHeight="1">
      <c r="A380" s="1141" t="s">
        <v>182</v>
      </c>
      <c r="B380" s="1141"/>
      <c r="C380" s="556"/>
      <c r="D380" s="547">
        <f>SUM(D376:D379)</f>
        <v>3</v>
      </c>
      <c r="E380" s="547">
        <f>SUM(E376:E379)</f>
        <v>3</v>
      </c>
      <c r="F380" s="547">
        <v>0</v>
      </c>
      <c r="G380" s="547">
        <f>SUM(G376:G379)</f>
        <v>3</v>
      </c>
      <c r="H380" s="547">
        <v>0</v>
      </c>
      <c r="I380" s="556"/>
      <c r="J380" s="556"/>
      <c r="K380" s="556"/>
      <c r="L380" s="721"/>
      <c r="M380" s="655">
        <f>SUM(M376:M379)</f>
        <v>542.25</v>
      </c>
      <c r="N380" s="548"/>
      <c r="O380" s="550">
        <f>SUM(O376:O379)</f>
        <v>11053.224</v>
      </c>
      <c r="P380" s="655">
        <f>SUM(P376:P379)</f>
        <v>331.98</v>
      </c>
      <c r="Q380" s="548"/>
      <c r="R380" s="550">
        <f>SUM(R376:R379)</f>
        <v>7877.8854</v>
      </c>
      <c r="S380" s="550">
        <f>SUM(S376:S379)</f>
        <v>17238.833</v>
      </c>
      <c r="U380" s="723"/>
    </row>
    <row r="381" spans="1:19" s="559" customFormat="1" ht="15" customHeight="1">
      <c r="A381" s="1140" t="s">
        <v>181</v>
      </c>
      <c r="B381" s="1140"/>
      <c r="C381" s="638"/>
      <c r="D381" s="707"/>
      <c r="E381" s="708"/>
      <c r="F381" s="708"/>
      <c r="G381" s="763"/>
      <c r="H381" s="708"/>
      <c r="I381" s="709"/>
      <c r="J381" s="708"/>
      <c r="K381" s="708"/>
      <c r="L381" s="661"/>
      <c r="M381" s="709"/>
      <c r="N381" s="754"/>
      <c r="O381" s="661"/>
      <c r="P381" s="661"/>
      <c r="Q381" s="754"/>
      <c r="R381" s="710"/>
      <c r="S381" s="710"/>
    </row>
    <row r="382" spans="1:19" ht="12.75">
      <c r="A382" s="562"/>
      <c r="B382" s="562"/>
      <c r="C382" s="562"/>
      <c r="D382" s="591"/>
      <c r="E382" s="764"/>
      <c r="F382" s="591"/>
      <c r="G382" s="591"/>
      <c r="H382" s="591"/>
      <c r="I382" s="591"/>
      <c r="J382" s="591"/>
      <c r="K382" s="591"/>
      <c r="L382" s="765"/>
      <c r="M382" s="562"/>
      <c r="N382" s="766"/>
      <c r="O382" s="670"/>
      <c r="P382" s="670"/>
      <c r="Q382" s="766"/>
      <c r="R382" s="670"/>
      <c r="S382" s="586">
        <v>8599.15</v>
      </c>
    </row>
    <row r="383" spans="1:19" s="681" customFormat="1" ht="15" customHeight="1">
      <c r="A383" s="1143" t="s">
        <v>94</v>
      </c>
      <c r="B383" s="1143"/>
      <c r="C383" s="526"/>
      <c r="D383" s="526"/>
      <c r="E383" s="526"/>
      <c r="F383" s="550"/>
      <c r="G383" s="550"/>
      <c r="H383" s="550"/>
      <c r="I383" s="558"/>
      <c r="J383" s="721"/>
      <c r="K383" s="721"/>
      <c r="L383" s="721"/>
      <c r="M383" s="679"/>
      <c r="N383" s="721"/>
      <c r="O383" s="558"/>
      <c r="P383" s="721"/>
      <c r="Q383" s="721"/>
      <c r="R383" s="558"/>
      <c r="S383" s="558">
        <f>S374+S380+S382</f>
        <v>2002584.4754816</v>
      </c>
    </row>
    <row r="384" spans="10:12" ht="12.75">
      <c r="J384" s="767"/>
      <c r="K384" s="767"/>
      <c r="L384" s="731"/>
    </row>
  </sheetData>
  <mergeCells count="82">
    <mergeCell ref="A370:B370"/>
    <mergeCell ref="A371:B371"/>
    <mergeCell ref="A372:B372"/>
    <mergeCell ref="A379:B379"/>
    <mergeCell ref="A373:B373"/>
    <mergeCell ref="A374:B374"/>
    <mergeCell ref="A375:B375"/>
    <mergeCell ref="A366:B366"/>
    <mergeCell ref="A367:B367"/>
    <mergeCell ref="A368:B368"/>
    <mergeCell ref="A369:B369"/>
    <mergeCell ref="A362:B362"/>
    <mergeCell ref="A363:B363"/>
    <mergeCell ref="A364:B364"/>
    <mergeCell ref="A365:B365"/>
    <mergeCell ref="A297:B297"/>
    <mergeCell ref="A298:B298"/>
    <mergeCell ref="A299:B299"/>
    <mergeCell ref="A309:B309"/>
    <mergeCell ref="A293:B293"/>
    <mergeCell ref="A294:B294"/>
    <mergeCell ref="A295:B295"/>
    <mergeCell ref="A296:B296"/>
    <mergeCell ref="A217:B217"/>
    <mergeCell ref="A245:B245"/>
    <mergeCell ref="A246:B246"/>
    <mergeCell ref="A247:B247"/>
    <mergeCell ref="A218:B218"/>
    <mergeCell ref="A213:B213"/>
    <mergeCell ref="A214:B214"/>
    <mergeCell ref="A215:B215"/>
    <mergeCell ref="A216:B216"/>
    <mergeCell ref="A180:B180"/>
    <mergeCell ref="A181:B181"/>
    <mergeCell ref="A211:B211"/>
    <mergeCell ref="A212:B212"/>
    <mergeCell ref="A150:B150"/>
    <mergeCell ref="A177:B177"/>
    <mergeCell ref="A178:B178"/>
    <mergeCell ref="A179:B179"/>
    <mergeCell ref="A131:B131"/>
    <mergeCell ref="A132:B132"/>
    <mergeCell ref="A133:B133"/>
    <mergeCell ref="A149:B149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381:B381"/>
    <mergeCell ref="A1:Q1"/>
    <mergeCell ref="R1:S1"/>
    <mergeCell ref="A119:B119"/>
    <mergeCell ref="A120:B120"/>
    <mergeCell ref="A3:B3"/>
    <mergeCell ref="A38:B38"/>
    <mergeCell ref="A2:S2"/>
    <mergeCell ref="A39:B39"/>
    <mergeCell ref="A35:B35"/>
    <mergeCell ref="A122:B122"/>
    <mergeCell ref="A383:B383"/>
    <mergeCell ref="A219:B219"/>
    <mergeCell ref="A252:B252"/>
    <mergeCell ref="A300:B300"/>
    <mergeCell ref="A301:B301"/>
    <mergeCell ref="A310:B310"/>
    <mergeCell ref="A311:B311"/>
    <mergeCell ref="A251:B251"/>
    <mergeCell ref="A380:B380"/>
    <mergeCell ref="A248:B248"/>
    <mergeCell ref="A249:B249"/>
    <mergeCell ref="A250:B250"/>
    <mergeCell ref="A121:B121"/>
    <mergeCell ref="A152:B152"/>
    <mergeCell ref="A182:B182"/>
    <mergeCell ref="A183:B183"/>
    <mergeCell ref="A134:B134"/>
    <mergeCell ref="A135:B135"/>
    <mergeCell ref="A151:B15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27"/>
  </sheetPr>
  <dimension ref="A1:Q40"/>
  <sheetViews>
    <sheetView workbookViewId="0" topLeftCell="H1">
      <selection activeCell="A34" sqref="A34:C34"/>
    </sheetView>
  </sheetViews>
  <sheetFormatPr defaultColWidth="9.140625" defaultRowHeight="12.75"/>
  <cols>
    <col min="1" max="3" width="20.7109375" style="4" customWidth="1"/>
    <col min="4" max="4" width="7.57421875" style="3" customWidth="1"/>
    <col min="5" max="5" width="5.7109375" style="303" customWidth="1"/>
    <col min="6" max="6" width="5.7109375" style="3" customWidth="1"/>
    <col min="7" max="8" width="9.7109375" style="3" customWidth="1"/>
    <col min="9" max="10" width="13.7109375" style="3" customWidth="1"/>
    <col min="11" max="11" width="10.140625" style="3" customWidth="1"/>
    <col min="12" max="12" width="19.57421875" style="9" customWidth="1"/>
    <col min="13" max="13" width="17.00390625" style="210" customWidth="1"/>
    <col min="14" max="14" width="14.7109375" style="11" customWidth="1"/>
    <col min="15" max="15" width="17.00390625" style="212" customWidth="1"/>
    <col min="16" max="16" width="16.8515625" style="9" customWidth="1"/>
    <col min="17" max="17" width="20.00390625" style="9" customWidth="1"/>
    <col min="18" max="16384" width="11.57421875" style="9" customWidth="1"/>
  </cols>
  <sheetData>
    <row r="1" spans="1:15" s="5" customFormat="1" ht="30" customHeight="1">
      <c r="A1" s="1123" t="s">
        <v>231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589">
        <v>40070137</v>
      </c>
    </row>
    <row r="2" spans="1:15" s="6" customFormat="1" ht="33" customHeight="1">
      <c r="A2" s="1044" t="s">
        <v>416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125"/>
      <c r="M2" s="1125"/>
      <c r="N2" s="1125"/>
      <c r="O2" s="1125"/>
    </row>
    <row r="3" spans="1:15" s="4" customFormat="1" ht="15" customHeight="1">
      <c r="A3" s="1027" t="s">
        <v>66</v>
      </c>
      <c r="B3" s="1027"/>
      <c r="C3" s="87"/>
      <c r="D3" s="87"/>
      <c r="E3" s="300"/>
      <c r="F3" s="87"/>
      <c r="G3" s="87"/>
      <c r="H3" s="87"/>
      <c r="I3" s="87"/>
      <c r="J3" s="87"/>
      <c r="K3" s="87"/>
      <c r="L3" s="593"/>
      <c r="M3" s="67"/>
      <c r="N3" s="67"/>
      <c r="O3" s="211"/>
    </row>
    <row r="4" spans="1:15" s="50" customFormat="1" ht="55.5" customHeight="1">
      <c r="A4" s="39" t="s">
        <v>332</v>
      </c>
      <c r="B4" s="39" t="s">
        <v>333</v>
      </c>
      <c r="C4" s="39" t="s">
        <v>213</v>
      </c>
      <c r="D4" s="115" t="s">
        <v>36</v>
      </c>
      <c r="E4" s="115" t="s">
        <v>73</v>
      </c>
      <c r="F4" s="115" t="s">
        <v>74</v>
      </c>
      <c r="G4" s="115" t="s">
        <v>37</v>
      </c>
      <c r="H4" s="115" t="s">
        <v>38</v>
      </c>
      <c r="I4" s="115" t="s">
        <v>15</v>
      </c>
      <c r="J4" s="115" t="s">
        <v>214</v>
      </c>
      <c r="K4" s="115" t="s">
        <v>39</v>
      </c>
      <c r="L4" s="115" t="s">
        <v>84</v>
      </c>
      <c r="M4" s="360" t="s">
        <v>263</v>
      </c>
      <c r="N4" s="594" t="s">
        <v>40</v>
      </c>
      <c r="O4" s="595" t="s">
        <v>58</v>
      </c>
    </row>
    <row r="5" spans="1:15" s="278" customFormat="1" ht="15" customHeight="1">
      <c r="A5" s="793"/>
      <c r="B5" s="793"/>
      <c r="C5" s="790"/>
      <c r="D5" s="1">
        <v>1</v>
      </c>
      <c r="E5" s="429">
        <v>1</v>
      </c>
      <c r="F5" s="1"/>
      <c r="G5" s="429">
        <v>1</v>
      </c>
      <c r="H5" s="1"/>
      <c r="I5" s="409" t="s">
        <v>212</v>
      </c>
      <c r="J5" s="409" t="s">
        <v>212</v>
      </c>
      <c r="K5" s="429">
        <v>1997</v>
      </c>
      <c r="L5" s="1" t="s">
        <v>275</v>
      </c>
      <c r="M5" s="382">
        <v>47.43</v>
      </c>
      <c r="N5" s="368">
        <v>23.05</v>
      </c>
      <c r="O5" s="368">
        <f>N5*M5</f>
        <v>1093.2615</v>
      </c>
    </row>
    <row r="6" spans="1:15" s="278" customFormat="1" ht="15" customHeight="1">
      <c r="A6" s="1111" t="s">
        <v>51</v>
      </c>
      <c r="B6" s="1112"/>
      <c r="C6" s="22"/>
      <c r="D6" s="1"/>
      <c r="E6" s="429"/>
      <c r="F6" s="1"/>
      <c r="G6" s="429"/>
      <c r="H6" s="1"/>
      <c r="I6" s="409"/>
      <c r="J6" s="409"/>
      <c r="K6" s="429"/>
      <c r="L6" s="1"/>
      <c r="M6" s="382"/>
      <c r="N6" s="368"/>
      <c r="O6" s="368">
        <f>1856.52-1093.26</f>
        <v>763.26</v>
      </c>
    </row>
    <row r="7" spans="1:16" s="206" customFormat="1" ht="15" customHeight="1">
      <c r="A7" s="1030" t="s">
        <v>75</v>
      </c>
      <c r="B7" s="1030"/>
      <c r="C7" s="104"/>
      <c r="D7" s="104">
        <f>SUM(D5:D5)</f>
        <v>1</v>
      </c>
      <c r="E7" s="104">
        <f>SUM(E5:E5)</f>
        <v>1</v>
      </c>
      <c r="F7" s="104">
        <f>SUM(F5:F5)</f>
        <v>0</v>
      </c>
      <c r="G7" s="104">
        <f>SUM(G5:G5)</f>
        <v>1</v>
      </c>
      <c r="H7" s="104">
        <f>SUM(H5:H5)</f>
        <v>0</v>
      </c>
      <c r="I7" s="104"/>
      <c r="J7" s="104"/>
      <c r="K7" s="104"/>
      <c r="L7" s="596"/>
      <c r="M7" s="203">
        <f>SUM(M5:M5)</f>
        <v>47.43</v>
      </c>
      <c r="N7" s="204"/>
      <c r="O7" s="204">
        <f>SUM(O5:O6)</f>
        <v>1856.5215</v>
      </c>
      <c r="P7" s="209"/>
    </row>
    <row r="8" spans="1:15" s="4" customFormat="1" ht="15" customHeight="1">
      <c r="A8" s="1027" t="s">
        <v>64</v>
      </c>
      <c r="B8" s="1027"/>
      <c r="C8" s="87"/>
      <c r="D8" s="87"/>
      <c r="E8" s="300"/>
      <c r="F8" s="87"/>
      <c r="G8" s="87"/>
      <c r="H8" s="87"/>
      <c r="I8" s="87"/>
      <c r="J8" s="87"/>
      <c r="K8" s="87"/>
      <c r="L8" s="597"/>
      <c r="M8" s="196"/>
      <c r="N8" s="196"/>
      <c r="O8" s="211"/>
    </row>
    <row r="9" spans="1:15" s="50" customFormat="1" ht="57" customHeight="1">
      <c r="A9" s="39" t="s">
        <v>332</v>
      </c>
      <c r="B9" s="39" t="s">
        <v>333</v>
      </c>
      <c r="C9" s="39" t="s">
        <v>213</v>
      </c>
      <c r="D9" s="115" t="s">
        <v>36</v>
      </c>
      <c r="E9" s="115" t="s">
        <v>73</v>
      </c>
      <c r="F9" s="115" t="s">
        <v>74</v>
      </c>
      <c r="G9" s="115" t="s">
        <v>37</v>
      </c>
      <c r="H9" s="115" t="s">
        <v>38</v>
      </c>
      <c r="I9" s="115" t="s">
        <v>15</v>
      </c>
      <c r="J9" s="115" t="s">
        <v>214</v>
      </c>
      <c r="K9" s="115" t="s">
        <v>39</v>
      </c>
      <c r="L9" s="115" t="s">
        <v>84</v>
      </c>
      <c r="M9" s="360" t="s">
        <v>263</v>
      </c>
      <c r="N9" s="594" t="s">
        <v>40</v>
      </c>
      <c r="O9" s="595" t="s">
        <v>58</v>
      </c>
    </row>
    <row r="10" spans="1:15" s="278" customFormat="1" ht="15" customHeight="1">
      <c r="A10" s="794"/>
      <c r="B10" s="795"/>
      <c r="C10" s="790"/>
      <c r="D10" s="1">
        <v>1</v>
      </c>
      <c r="E10" s="22">
        <v>1</v>
      </c>
      <c r="F10" s="1"/>
      <c r="G10" s="1"/>
      <c r="H10" s="22">
        <v>1</v>
      </c>
      <c r="I10" s="1" t="s">
        <v>212</v>
      </c>
      <c r="J10" s="1" t="s">
        <v>500</v>
      </c>
      <c r="K10" s="1">
        <v>1994</v>
      </c>
      <c r="L10" s="1" t="s">
        <v>275</v>
      </c>
      <c r="M10" s="200">
        <v>144.48</v>
      </c>
      <c r="N10" s="368">
        <v>23.05</v>
      </c>
      <c r="O10" s="368">
        <f>N10*M10</f>
        <v>3330.2639999999997</v>
      </c>
    </row>
    <row r="11" spans="1:15" s="278" customFormat="1" ht="15" customHeight="1">
      <c r="A11" s="1111" t="s">
        <v>51</v>
      </c>
      <c r="B11" s="1112"/>
      <c r="C11" s="279"/>
      <c r="D11" s="279"/>
      <c r="E11" s="301"/>
      <c r="F11" s="279"/>
      <c r="G11" s="279"/>
      <c r="H11" s="279"/>
      <c r="I11" s="279"/>
      <c r="J11" s="279"/>
      <c r="K11" s="279"/>
      <c r="L11" s="305"/>
      <c r="M11" s="200"/>
      <c r="N11" s="325"/>
      <c r="O11" s="325">
        <v>1086.98</v>
      </c>
    </row>
    <row r="12" spans="1:15" s="213" customFormat="1" ht="15" customHeight="1">
      <c r="A12" s="1030" t="s">
        <v>8</v>
      </c>
      <c r="B12" s="1030"/>
      <c r="C12" s="205"/>
      <c r="D12" s="205">
        <f>SUM(D10:D10)</f>
        <v>1</v>
      </c>
      <c r="E12" s="205">
        <f>SUM(E10:E10)</f>
        <v>1</v>
      </c>
      <c r="F12" s="205">
        <f>SUM(F10:F10)</f>
        <v>0</v>
      </c>
      <c r="G12" s="205">
        <f>SUM(G10:G10)</f>
        <v>0</v>
      </c>
      <c r="H12" s="205">
        <f>SUM(H10:H10)</f>
        <v>1</v>
      </c>
      <c r="I12" s="205"/>
      <c r="J12" s="205"/>
      <c r="K12" s="205"/>
      <c r="L12" s="596"/>
      <c r="M12" s="203">
        <f>SUM(M10:M10)</f>
        <v>144.48</v>
      </c>
      <c r="N12" s="204"/>
      <c r="O12" s="204">
        <f>SUM(O10:O11)</f>
        <v>4417.244</v>
      </c>
    </row>
    <row r="13" spans="1:15" s="213" customFormat="1" ht="15" customHeight="1">
      <c r="A13" s="1027" t="s">
        <v>67</v>
      </c>
      <c r="B13" s="1027"/>
      <c r="C13" s="87"/>
      <c r="D13" s="87"/>
      <c r="E13" s="300"/>
      <c r="F13" s="87"/>
      <c r="G13" s="87"/>
      <c r="H13" s="87"/>
      <c r="I13" s="87"/>
      <c r="J13" s="87"/>
      <c r="K13" s="87"/>
      <c r="L13" s="593"/>
      <c r="M13" s="67"/>
      <c r="N13" s="67"/>
      <c r="O13" s="211"/>
    </row>
    <row r="14" spans="1:15" s="213" customFormat="1" ht="57" customHeight="1">
      <c r="A14" s="39" t="s">
        <v>332</v>
      </c>
      <c r="B14" s="39" t="s">
        <v>333</v>
      </c>
      <c r="C14" s="39" t="s">
        <v>213</v>
      </c>
      <c r="D14" s="115" t="s">
        <v>36</v>
      </c>
      <c r="E14" s="115" t="s">
        <v>73</v>
      </c>
      <c r="F14" s="115" t="s">
        <v>74</v>
      </c>
      <c r="G14" s="115" t="s">
        <v>37</v>
      </c>
      <c r="H14" s="115" t="s">
        <v>38</v>
      </c>
      <c r="I14" s="115" t="s">
        <v>15</v>
      </c>
      <c r="J14" s="115" t="s">
        <v>214</v>
      </c>
      <c r="K14" s="115" t="s">
        <v>39</v>
      </c>
      <c r="L14" s="115" t="s">
        <v>84</v>
      </c>
      <c r="M14" s="360" t="s">
        <v>263</v>
      </c>
      <c r="N14" s="594" t="s">
        <v>40</v>
      </c>
      <c r="O14" s="595" t="s">
        <v>58</v>
      </c>
    </row>
    <row r="15" spans="1:15" s="213" customFormat="1" ht="15" customHeight="1">
      <c r="A15" s="1030" t="s">
        <v>95</v>
      </c>
      <c r="B15" s="1030"/>
      <c r="C15" s="104"/>
      <c r="D15" s="104">
        <f>SUM(D13:D13)</f>
        <v>0</v>
      </c>
      <c r="E15" s="104">
        <f>SUM(E13:E13)</f>
        <v>0</v>
      </c>
      <c r="F15" s="104">
        <f>SUM(F13:F13)</f>
        <v>0</v>
      </c>
      <c r="G15" s="104">
        <f>SUM(G13:G13)</f>
        <v>0</v>
      </c>
      <c r="H15" s="104">
        <f>SUM(H13:H13)</f>
        <v>0</v>
      </c>
      <c r="I15" s="104"/>
      <c r="J15" s="104"/>
      <c r="K15" s="104"/>
      <c r="L15" s="596"/>
      <c r="M15" s="203">
        <f>SUM(M13:M13)</f>
        <v>0</v>
      </c>
      <c r="N15" s="204"/>
      <c r="O15" s="204">
        <f>SUM(O13:O14)</f>
        <v>0</v>
      </c>
    </row>
    <row r="16" spans="1:15" s="213" customFormat="1" ht="15" customHeight="1">
      <c r="A16" s="1027" t="s">
        <v>68</v>
      </c>
      <c r="B16" s="1027"/>
      <c r="C16" s="87"/>
      <c r="D16" s="87"/>
      <c r="E16" s="300"/>
      <c r="F16" s="87"/>
      <c r="G16" s="87"/>
      <c r="H16" s="87"/>
      <c r="I16" s="87"/>
      <c r="J16" s="87"/>
      <c r="K16" s="87"/>
      <c r="L16" s="593"/>
      <c r="M16" s="67"/>
      <c r="N16" s="67"/>
      <c r="O16" s="211"/>
    </row>
    <row r="17" spans="1:15" s="213" customFormat="1" ht="57" customHeight="1">
      <c r="A17" s="39" t="s">
        <v>332</v>
      </c>
      <c r="B17" s="39" t="s">
        <v>333</v>
      </c>
      <c r="C17" s="39" t="s">
        <v>213</v>
      </c>
      <c r="D17" s="115" t="s">
        <v>36</v>
      </c>
      <c r="E17" s="115" t="s">
        <v>73</v>
      </c>
      <c r="F17" s="115" t="s">
        <v>74</v>
      </c>
      <c r="G17" s="115" t="s">
        <v>37</v>
      </c>
      <c r="H17" s="115" t="s">
        <v>38</v>
      </c>
      <c r="I17" s="115" t="s">
        <v>15</v>
      </c>
      <c r="J17" s="115" t="s">
        <v>214</v>
      </c>
      <c r="K17" s="115" t="s">
        <v>39</v>
      </c>
      <c r="L17" s="115" t="s">
        <v>84</v>
      </c>
      <c r="M17" s="360" t="s">
        <v>263</v>
      </c>
      <c r="N17" s="594" t="s">
        <v>40</v>
      </c>
      <c r="O17" s="595" t="s">
        <v>58</v>
      </c>
    </row>
    <row r="18" spans="1:15" s="213" customFormat="1" ht="15" customHeight="1">
      <c r="A18" s="1030" t="s">
        <v>478</v>
      </c>
      <c r="B18" s="1030"/>
      <c r="C18" s="104"/>
      <c r="D18" s="104">
        <f>SUM(D16:D16)</f>
        <v>0</v>
      </c>
      <c r="E18" s="104">
        <f>SUM(E16:E16)</f>
        <v>0</v>
      </c>
      <c r="F18" s="104">
        <f>SUM(F16:F16)</f>
        <v>0</v>
      </c>
      <c r="G18" s="104">
        <f>SUM(G16:G16)</f>
        <v>0</v>
      </c>
      <c r="H18" s="104">
        <f>SUM(H16:H16)</f>
        <v>0</v>
      </c>
      <c r="I18" s="104"/>
      <c r="J18" s="104"/>
      <c r="K18" s="104"/>
      <c r="L18" s="596"/>
      <c r="M18" s="203">
        <f>SUM(M16:M16)</f>
        <v>0</v>
      </c>
      <c r="N18" s="204"/>
      <c r="O18" s="204">
        <f>SUM(O16:O17)</f>
        <v>0</v>
      </c>
    </row>
    <row r="19" spans="1:15" s="4" customFormat="1" ht="15" customHeight="1">
      <c r="A19" s="1027" t="s">
        <v>65</v>
      </c>
      <c r="B19" s="1027"/>
      <c r="C19" s="87"/>
      <c r="D19" s="87"/>
      <c r="E19" s="300"/>
      <c r="F19" s="87"/>
      <c r="G19" s="87"/>
      <c r="H19" s="87"/>
      <c r="I19" s="87"/>
      <c r="J19" s="87"/>
      <c r="K19" s="87"/>
      <c r="L19" s="597"/>
      <c r="M19" s="196"/>
      <c r="N19" s="196"/>
      <c r="O19" s="211"/>
    </row>
    <row r="20" spans="1:15" s="50" customFormat="1" ht="57" customHeight="1">
      <c r="A20" s="39" t="s">
        <v>332</v>
      </c>
      <c r="B20" s="39" t="s">
        <v>333</v>
      </c>
      <c r="C20" s="39" t="s">
        <v>213</v>
      </c>
      <c r="D20" s="115" t="s">
        <v>36</v>
      </c>
      <c r="E20" s="115" t="s">
        <v>73</v>
      </c>
      <c r="F20" s="115" t="s">
        <v>74</v>
      </c>
      <c r="G20" s="115" t="s">
        <v>37</v>
      </c>
      <c r="H20" s="115" t="s">
        <v>38</v>
      </c>
      <c r="I20" s="115" t="s">
        <v>15</v>
      </c>
      <c r="J20" s="115" t="s">
        <v>214</v>
      </c>
      <c r="K20" s="115" t="s">
        <v>39</v>
      </c>
      <c r="L20" s="115" t="s">
        <v>84</v>
      </c>
      <c r="M20" s="360" t="s">
        <v>263</v>
      </c>
      <c r="N20" s="594" t="s">
        <v>40</v>
      </c>
      <c r="O20" s="595" t="s">
        <v>58</v>
      </c>
    </row>
    <row r="21" spans="1:15" s="280" customFormat="1" ht="15" customHeight="1">
      <c r="A21" s="793"/>
      <c r="B21" s="793"/>
      <c r="C21" s="801"/>
      <c r="D21" s="1">
        <v>1</v>
      </c>
      <c r="E21" s="305"/>
      <c r="F21" s="22">
        <v>1</v>
      </c>
      <c r="G21" s="409">
        <v>1</v>
      </c>
      <c r="H21" s="326"/>
      <c r="I21" s="409" t="s">
        <v>212</v>
      </c>
      <c r="J21" s="415" t="s">
        <v>212</v>
      </c>
      <c r="K21" s="409">
        <v>1999</v>
      </c>
      <c r="L21" s="1" t="s">
        <v>275</v>
      </c>
      <c r="M21" s="200">
        <v>209.49</v>
      </c>
      <c r="N21" s="368">
        <v>23.05</v>
      </c>
      <c r="O21" s="368">
        <f>N21*M21</f>
        <v>4828.744500000001</v>
      </c>
    </row>
    <row r="22" spans="1:15" s="280" customFormat="1" ht="15" customHeight="1">
      <c r="A22" s="1111" t="s">
        <v>51</v>
      </c>
      <c r="B22" s="1112"/>
      <c r="C22" s="307"/>
      <c r="D22" s="305"/>
      <c r="E22" s="305"/>
      <c r="F22" s="305"/>
      <c r="G22" s="305"/>
      <c r="H22" s="305"/>
      <c r="I22" s="335"/>
      <c r="J22" s="305"/>
      <c r="K22" s="305"/>
      <c r="L22" s="200"/>
      <c r="M22" s="200"/>
      <c r="N22" s="195"/>
      <c r="O22" s="368">
        <f>6802.79-O21</f>
        <v>1974.0454999999993</v>
      </c>
    </row>
    <row r="23" spans="1:15" s="213" customFormat="1" ht="15" customHeight="1">
      <c r="A23" s="1030" t="s">
        <v>340</v>
      </c>
      <c r="B23" s="1030"/>
      <c r="C23" s="311"/>
      <c r="D23" s="202">
        <f>SUM(D21:D22)</f>
        <v>1</v>
      </c>
      <c r="E23" s="202">
        <f>SUM(E21:E21)</f>
        <v>0</v>
      </c>
      <c r="F23" s="202">
        <f>SUM(F21:F21)</f>
        <v>1</v>
      </c>
      <c r="G23" s="202">
        <f>SUM(G21:G21)</f>
        <v>1</v>
      </c>
      <c r="H23" s="202">
        <f>SUM(H21:H21)</f>
        <v>0</v>
      </c>
      <c r="I23" s="312"/>
      <c r="J23" s="207"/>
      <c r="K23" s="207"/>
      <c r="L23" s="203"/>
      <c r="M23" s="203">
        <f>SUM(M21:M21)</f>
        <v>209.49</v>
      </c>
      <c r="N23" s="312"/>
      <c r="O23" s="339">
        <f>SUM(O21:O22)</f>
        <v>6802.79</v>
      </c>
    </row>
    <row r="24" spans="1:15" s="4" customFormat="1" ht="15" customHeight="1">
      <c r="A24" s="1027" t="s">
        <v>69</v>
      </c>
      <c r="B24" s="1027"/>
      <c r="C24" s="313"/>
      <c r="D24" s="365"/>
      <c r="E24" s="314"/>
      <c r="F24" s="314"/>
      <c r="G24" s="314"/>
      <c r="H24" s="314"/>
      <c r="I24" s="315"/>
      <c r="J24" s="314"/>
      <c r="K24" s="314"/>
      <c r="L24" s="199"/>
      <c r="M24" s="199"/>
      <c r="N24" s="315"/>
      <c r="O24" s="103"/>
    </row>
    <row r="25" spans="1:15" s="4" customFormat="1" ht="57" customHeight="1">
      <c r="A25" s="39" t="s">
        <v>332</v>
      </c>
      <c r="B25" s="39" t="s">
        <v>333</v>
      </c>
      <c r="C25" s="39" t="s">
        <v>213</v>
      </c>
      <c r="D25" s="115" t="s">
        <v>36</v>
      </c>
      <c r="E25" s="115" t="s">
        <v>73</v>
      </c>
      <c r="F25" s="115" t="s">
        <v>74</v>
      </c>
      <c r="G25" s="115" t="s">
        <v>37</v>
      </c>
      <c r="H25" s="115" t="s">
        <v>38</v>
      </c>
      <c r="I25" s="115" t="s">
        <v>15</v>
      </c>
      <c r="J25" s="115" t="s">
        <v>214</v>
      </c>
      <c r="K25" s="115" t="s">
        <v>39</v>
      </c>
      <c r="L25" s="115" t="s">
        <v>84</v>
      </c>
      <c r="M25" s="360" t="s">
        <v>263</v>
      </c>
      <c r="N25" s="594" t="s">
        <v>40</v>
      </c>
      <c r="O25" s="595" t="s">
        <v>58</v>
      </c>
    </row>
    <row r="26" spans="1:15" s="278" customFormat="1" ht="15" customHeight="1">
      <c r="A26" s="794"/>
      <c r="B26" s="795"/>
      <c r="C26" s="790"/>
      <c r="D26" s="429">
        <v>1</v>
      </c>
      <c r="E26" s="22"/>
      <c r="F26" s="22">
        <v>1</v>
      </c>
      <c r="G26" s="22">
        <v>1</v>
      </c>
      <c r="H26" s="305"/>
      <c r="I26" s="22" t="s">
        <v>212</v>
      </c>
      <c r="J26" s="222" t="s">
        <v>212</v>
      </c>
      <c r="K26" s="21">
        <v>2004</v>
      </c>
      <c r="L26" s="200"/>
      <c r="M26" s="200">
        <v>96.36</v>
      </c>
      <c r="N26" s="195">
        <v>23.05</v>
      </c>
      <c r="O26" s="368">
        <f>N26*M26</f>
        <v>2221.098</v>
      </c>
    </row>
    <row r="27" spans="1:15" s="278" customFormat="1" ht="15" customHeight="1">
      <c r="A27" s="1111" t="s">
        <v>51</v>
      </c>
      <c r="B27" s="1112"/>
      <c r="C27" s="307"/>
      <c r="D27" s="305"/>
      <c r="E27" s="305"/>
      <c r="F27" s="305"/>
      <c r="G27" s="305"/>
      <c r="H27" s="305"/>
      <c r="I27" s="335"/>
      <c r="J27" s="305"/>
      <c r="K27" s="305"/>
      <c r="L27" s="200"/>
      <c r="M27" s="200"/>
      <c r="N27" s="195"/>
      <c r="O27" s="338">
        <f>2827.03-O26</f>
        <v>605.9320000000002</v>
      </c>
    </row>
    <row r="28" spans="1:15" s="213" customFormat="1" ht="15" customHeight="1">
      <c r="A28" s="1030" t="s">
        <v>13</v>
      </c>
      <c r="B28" s="1030"/>
      <c r="C28" s="311"/>
      <c r="D28" s="205">
        <f>SUM(D26:D27)</f>
        <v>1</v>
      </c>
      <c r="E28" s="205">
        <f>SUM(E26:E27)</f>
        <v>0</v>
      </c>
      <c r="F28" s="205">
        <f>SUM(F26:F27)</f>
        <v>1</v>
      </c>
      <c r="G28" s="205">
        <f>SUM(G26:G27)</f>
        <v>1</v>
      </c>
      <c r="H28" s="205">
        <f>SUM(H26:H27)</f>
        <v>0</v>
      </c>
      <c r="I28" s="312"/>
      <c r="J28" s="207">
        <f>SUM(J26:J26)</f>
        <v>0</v>
      </c>
      <c r="K28" s="207"/>
      <c r="L28" s="203"/>
      <c r="M28" s="203">
        <f>SUM(M26:M26)</f>
        <v>96.36</v>
      </c>
      <c r="N28" s="312"/>
      <c r="O28" s="339">
        <f>SUM(O26:O27)</f>
        <v>2827.03</v>
      </c>
    </row>
    <row r="29" spans="1:15" s="213" customFormat="1" ht="15" customHeight="1">
      <c r="A29" s="1027" t="s">
        <v>70</v>
      </c>
      <c r="B29" s="1027"/>
      <c r="C29" s="87"/>
      <c r="D29" s="87"/>
      <c r="E29" s="300"/>
      <c r="F29" s="87"/>
      <c r="G29" s="87"/>
      <c r="H29" s="87"/>
      <c r="I29" s="87"/>
      <c r="J29" s="87"/>
      <c r="K29" s="87"/>
      <c r="L29" s="593"/>
      <c r="M29" s="67"/>
      <c r="N29" s="67"/>
      <c r="O29" s="211"/>
    </row>
    <row r="30" spans="1:15" s="213" customFormat="1" ht="57" customHeight="1">
      <c r="A30" s="39" t="s">
        <v>332</v>
      </c>
      <c r="B30" s="39" t="s">
        <v>333</v>
      </c>
      <c r="C30" s="39" t="s">
        <v>213</v>
      </c>
      <c r="D30" s="115" t="s">
        <v>36</v>
      </c>
      <c r="E30" s="115" t="s">
        <v>73</v>
      </c>
      <c r="F30" s="115" t="s">
        <v>74</v>
      </c>
      <c r="G30" s="115" t="s">
        <v>37</v>
      </c>
      <c r="H30" s="115" t="s">
        <v>38</v>
      </c>
      <c r="I30" s="115" t="s">
        <v>15</v>
      </c>
      <c r="J30" s="115" t="s">
        <v>214</v>
      </c>
      <c r="K30" s="115" t="s">
        <v>39</v>
      </c>
      <c r="L30" s="115" t="s">
        <v>84</v>
      </c>
      <c r="M30" s="360" t="s">
        <v>263</v>
      </c>
      <c r="N30" s="594" t="s">
        <v>40</v>
      </c>
      <c r="O30" s="595" t="s">
        <v>58</v>
      </c>
    </row>
    <row r="31" spans="1:15" s="213" customFormat="1" ht="15" customHeight="1">
      <c r="A31" s="1030" t="s">
        <v>341</v>
      </c>
      <c r="B31" s="1030"/>
      <c r="C31" s="104"/>
      <c r="D31" s="104">
        <f>SUM(D29:D29)</f>
        <v>0</v>
      </c>
      <c r="E31" s="104">
        <f>SUM(E29:E29)</f>
        <v>0</v>
      </c>
      <c r="F31" s="104">
        <f>SUM(F29:F29)</f>
        <v>0</v>
      </c>
      <c r="G31" s="104">
        <f>SUM(G29:G29)</f>
        <v>0</v>
      </c>
      <c r="H31" s="104">
        <f>SUM(H29:H29)</f>
        <v>0</v>
      </c>
      <c r="I31" s="104"/>
      <c r="J31" s="104"/>
      <c r="K31" s="104"/>
      <c r="L31" s="596"/>
      <c r="M31" s="203">
        <f>SUM(M29:M29)</f>
        <v>0</v>
      </c>
      <c r="N31" s="204"/>
      <c r="O31" s="204">
        <f>SUM(O29:O30)</f>
        <v>0</v>
      </c>
    </row>
    <row r="32" spans="1:15" s="4" customFormat="1" ht="15" customHeight="1">
      <c r="A32" s="1027" t="s">
        <v>71</v>
      </c>
      <c r="B32" s="1027"/>
      <c r="C32" s="313"/>
      <c r="D32" s="365"/>
      <c r="E32" s="314"/>
      <c r="F32" s="314"/>
      <c r="G32" s="314"/>
      <c r="H32" s="314"/>
      <c r="I32" s="315"/>
      <c r="J32" s="314"/>
      <c r="K32" s="314"/>
      <c r="L32" s="199"/>
      <c r="M32" s="199"/>
      <c r="N32" s="315"/>
      <c r="O32" s="103"/>
    </row>
    <row r="33" spans="1:15" s="4" customFormat="1" ht="57" customHeight="1">
      <c r="A33" s="39" t="s">
        <v>332</v>
      </c>
      <c r="B33" s="39" t="s">
        <v>333</v>
      </c>
      <c r="C33" s="39" t="s">
        <v>213</v>
      </c>
      <c r="D33" s="115" t="s">
        <v>36</v>
      </c>
      <c r="E33" s="115" t="s">
        <v>73</v>
      </c>
      <c r="F33" s="115" t="s">
        <v>74</v>
      </c>
      <c r="G33" s="115" t="s">
        <v>37</v>
      </c>
      <c r="H33" s="115" t="s">
        <v>38</v>
      </c>
      <c r="I33" s="115" t="s">
        <v>15</v>
      </c>
      <c r="J33" s="115" t="s">
        <v>214</v>
      </c>
      <c r="K33" s="115" t="s">
        <v>39</v>
      </c>
      <c r="L33" s="115" t="s">
        <v>84</v>
      </c>
      <c r="M33" s="360" t="s">
        <v>263</v>
      </c>
      <c r="N33" s="594" t="s">
        <v>40</v>
      </c>
      <c r="O33" s="595" t="s">
        <v>58</v>
      </c>
    </row>
    <row r="34" spans="1:17" s="111" customFormat="1" ht="15" customHeight="1">
      <c r="A34" s="791"/>
      <c r="B34" s="791"/>
      <c r="C34" s="792"/>
      <c r="D34" s="1">
        <v>1</v>
      </c>
      <c r="E34" s="305"/>
      <c r="F34" s="77">
        <v>1</v>
      </c>
      <c r="G34" s="305"/>
      <c r="H34" s="77">
        <v>1</v>
      </c>
      <c r="I34" s="22" t="s">
        <v>18</v>
      </c>
      <c r="J34" s="222" t="s">
        <v>18</v>
      </c>
      <c r="K34" s="15">
        <v>2004</v>
      </c>
      <c r="L34" s="1" t="s">
        <v>366</v>
      </c>
      <c r="M34" s="198">
        <v>78</v>
      </c>
      <c r="N34" s="340">
        <v>23.05</v>
      </c>
      <c r="O34" s="368">
        <f>N34*M34</f>
        <v>1797.9</v>
      </c>
      <c r="Q34" s="341"/>
    </row>
    <row r="35" spans="1:15" s="111" customFormat="1" ht="15" customHeight="1">
      <c r="A35" s="1111" t="s">
        <v>51</v>
      </c>
      <c r="B35" s="1112"/>
      <c r="C35" s="307"/>
      <c r="D35" s="305"/>
      <c r="E35" s="305"/>
      <c r="F35" s="305"/>
      <c r="G35" s="305"/>
      <c r="H35" s="305"/>
      <c r="I35" s="335"/>
      <c r="J35" s="305"/>
      <c r="K35" s="305"/>
      <c r="L35" s="198"/>
      <c r="M35" s="198"/>
      <c r="N35" s="340"/>
      <c r="O35" s="338">
        <f>2650.33-O34</f>
        <v>852.4299999999998</v>
      </c>
    </row>
    <row r="36" spans="1:15" s="215" customFormat="1" ht="15" customHeight="1">
      <c r="A36" s="1035" t="s">
        <v>22</v>
      </c>
      <c r="B36" s="1035"/>
      <c r="C36" s="318"/>
      <c r="D36" s="104">
        <f>SUM(D34:D35)</f>
        <v>1</v>
      </c>
      <c r="E36" s="205">
        <f>SUM(E34:E34)</f>
        <v>0</v>
      </c>
      <c r="F36" s="205">
        <f>SUM(F34:F34)</f>
        <v>1</v>
      </c>
      <c r="G36" s="205">
        <f>SUM(G34:G34)</f>
        <v>0</v>
      </c>
      <c r="H36" s="205">
        <f>SUM(H34:H34)</f>
        <v>1</v>
      </c>
      <c r="I36" s="319"/>
      <c r="J36" s="207"/>
      <c r="K36" s="207"/>
      <c r="L36" s="214"/>
      <c r="M36" s="214">
        <f>SUM(M34:M35)</f>
        <v>78</v>
      </c>
      <c r="N36" s="319"/>
      <c r="O36" s="204">
        <f>SUM(O34:O35)</f>
        <v>2650.33</v>
      </c>
    </row>
    <row r="37" spans="1:15" s="215" customFormat="1" ht="15" customHeight="1">
      <c r="A37" s="1027" t="s">
        <v>72</v>
      </c>
      <c r="B37" s="1027"/>
      <c r="C37" s="87"/>
      <c r="D37" s="87"/>
      <c r="E37" s="300"/>
      <c r="F37" s="87"/>
      <c r="G37" s="87"/>
      <c r="H37" s="87"/>
      <c r="I37" s="87"/>
      <c r="J37" s="87"/>
      <c r="K37" s="87"/>
      <c r="L37" s="593"/>
      <c r="M37" s="67"/>
      <c r="N37" s="67"/>
      <c r="O37" s="211"/>
    </row>
    <row r="38" spans="1:15" s="215" customFormat="1" ht="57" customHeight="1">
      <c r="A38" s="39" t="s">
        <v>332</v>
      </c>
      <c r="B38" s="39" t="s">
        <v>333</v>
      </c>
      <c r="C38" s="39" t="s">
        <v>213</v>
      </c>
      <c r="D38" s="115" t="s">
        <v>36</v>
      </c>
      <c r="E38" s="115" t="s">
        <v>73</v>
      </c>
      <c r="F38" s="115" t="s">
        <v>74</v>
      </c>
      <c r="G38" s="115" t="s">
        <v>37</v>
      </c>
      <c r="H38" s="115" t="s">
        <v>38</v>
      </c>
      <c r="I38" s="115" t="s">
        <v>15</v>
      </c>
      <c r="J38" s="115" t="s">
        <v>214</v>
      </c>
      <c r="K38" s="115" t="s">
        <v>39</v>
      </c>
      <c r="L38" s="115" t="s">
        <v>84</v>
      </c>
      <c r="M38" s="360" t="s">
        <v>263</v>
      </c>
      <c r="N38" s="594" t="s">
        <v>40</v>
      </c>
      <c r="O38" s="595" t="s">
        <v>58</v>
      </c>
    </row>
    <row r="39" spans="1:15" s="215" customFormat="1" ht="15" customHeight="1">
      <c r="A39" s="1030" t="s">
        <v>328</v>
      </c>
      <c r="B39" s="1030"/>
      <c r="C39" s="104"/>
      <c r="D39" s="104">
        <f>SUM(D37:D37)</f>
        <v>0</v>
      </c>
      <c r="E39" s="104">
        <f>SUM(E37:E37)</f>
        <v>0</v>
      </c>
      <c r="F39" s="104">
        <f>SUM(F37:F37)</f>
        <v>0</v>
      </c>
      <c r="G39" s="104">
        <f>SUM(G37:G37)</f>
        <v>0</v>
      </c>
      <c r="H39" s="104">
        <f>SUM(H37:H37)</f>
        <v>0</v>
      </c>
      <c r="I39" s="104"/>
      <c r="J39" s="104"/>
      <c r="K39" s="104"/>
      <c r="L39" s="596"/>
      <c r="M39" s="203">
        <f>SUM(M37:M37)</f>
        <v>0</v>
      </c>
      <c r="N39" s="204"/>
      <c r="O39" s="204">
        <f>SUM(O37:O38)</f>
        <v>0</v>
      </c>
    </row>
    <row r="40" spans="1:17" s="208" customFormat="1" ht="15" customHeight="1">
      <c r="A40" s="1151" t="s">
        <v>468</v>
      </c>
      <c r="B40" s="1152"/>
      <c r="C40" s="131"/>
      <c r="D40" s="131">
        <f>D36+D28+D23+D12+D7</f>
        <v>5</v>
      </c>
      <c r="E40" s="131">
        <f>E36+E28+E23+E12+E7</f>
        <v>2</v>
      </c>
      <c r="F40" s="131">
        <f>F36+F28+F23+F12</f>
        <v>3</v>
      </c>
      <c r="G40" s="131">
        <f>G36+G28+G23+G12+G7</f>
        <v>3</v>
      </c>
      <c r="H40" s="131">
        <f>H36+H28+H23+H12</f>
        <v>2</v>
      </c>
      <c r="I40" s="131"/>
      <c r="J40" s="131"/>
      <c r="K40" s="131"/>
      <c r="L40" s="454"/>
      <c r="M40" s="217"/>
      <c r="N40" s="610"/>
      <c r="O40" s="201">
        <f>O7+O12+O23+O28+O36</f>
        <v>18553.9155</v>
      </c>
      <c r="Q40" s="344"/>
    </row>
  </sheetData>
  <mergeCells count="26">
    <mergeCell ref="A40:B40"/>
    <mergeCell ref="A28:B28"/>
    <mergeCell ref="A27:B27"/>
    <mergeCell ref="A35:B35"/>
    <mergeCell ref="A29:B29"/>
    <mergeCell ref="A31:B31"/>
    <mergeCell ref="A37:B37"/>
    <mergeCell ref="A39:B39"/>
    <mergeCell ref="A2:O2"/>
    <mergeCell ref="A3:B3"/>
    <mergeCell ref="A8:B8"/>
    <mergeCell ref="A23:B23"/>
    <mergeCell ref="A22:B22"/>
    <mergeCell ref="A16:B16"/>
    <mergeCell ref="A15:B15"/>
    <mergeCell ref="A18:B18"/>
    <mergeCell ref="A24:B24"/>
    <mergeCell ref="A32:B32"/>
    <mergeCell ref="A36:B36"/>
    <mergeCell ref="A1:N1"/>
    <mergeCell ref="A6:B6"/>
    <mergeCell ref="A19:B19"/>
    <mergeCell ref="A7:B7"/>
    <mergeCell ref="A12:B12"/>
    <mergeCell ref="A11:B11"/>
    <mergeCell ref="A13:B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7"/>
  </sheetPr>
  <dimension ref="A1:M56"/>
  <sheetViews>
    <sheetView workbookViewId="0" topLeftCell="A1">
      <selection activeCell="I60" sqref="I60"/>
    </sheetView>
  </sheetViews>
  <sheetFormatPr defaultColWidth="9.140625" defaultRowHeight="12.75"/>
  <cols>
    <col min="1" max="3" width="20.7109375" style="4" customWidth="1"/>
    <col min="4" max="4" width="7.57421875" style="4" customWidth="1"/>
    <col min="5" max="5" width="5.7109375" style="303" customWidth="1"/>
    <col min="6" max="6" width="5.7109375" style="3" customWidth="1"/>
    <col min="7" max="8" width="9.7109375" style="3" customWidth="1"/>
    <col min="9" max="10" width="15.57421875" style="3" customWidth="1"/>
    <col min="11" max="11" width="10.140625" style="3" customWidth="1"/>
    <col min="12" max="12" width="22.7109375" style="212" customWidth="1"/>
    <col min="13" max="13" width="18.421875" style="3" customWidth="1"/>
    <col min="14" max="16384" width="11.57421875" style="9" customWidth="1"/>
  </cols>
  <sheetData>
    <row r="1" spans="1:13" s="48" customFormat="1" ht="30" customHeight="1">
      <c r="A1" s="1007" t="s">
        <v>89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458">
        <v>40070165</v>
      </c>
    </row>
    <row r="2" spans="1:13" s="49" customFormat="1" ht="44.25" customHeight="1">
      <c r="A2" s="1044" t="s">
        <v>367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</row>
    <row r="3" spans="1:13" s="4" customFormat="1" ht="15" customHeight="1">
      <c r="A3" s="1027" t="s">
        <v>66</v>
      </c>
      <c r="B3" s="1027"/>
      <c r="C3" s="87"/>
      <c r="D3" s="87"/>
      <c r="E3" s="300"/>
      <c r="F3" s="87"/>
      <c r="G3" s="87"/>
      <c r="H3" s="87"/>
      <c r="I3" s="87"/>
      <c r="J3" s="87"/>
      <c r="K3" s="87"/>
      <c r="L3" s="211"/>
      <c r="M3" s="87"/>
    </row>
    <row r="4" spans="1:13" s="50" customFormat="1" ht="59.25" customHeight="1">
      <c r="A4" s="39" t="s">
        <v>332</v>
      </c>
      <c r="B4" s="39" t="s">
        <v>333</v>
      </c>
      <c r="C4" s="39" t="s">
        <v>213</v>
      </c>
      <c r="D4" s="115" t="s">
        <v>36</v>
      </c>
      <c r="E4" s="115" t="s">
        <v>73</v>
      </c>
      <c r="F4" s="115" t="s">
        <v>74</v>
      </c>
      <c r="G4" s="115" t="s">
        <v>37</v>
      </c>
      <c r="H4" s="115" t="s">
        <v>38</v>
      </c>
      <c r="I4" s="115" t="s">
        <v>15</v>
      </c>
      <c r="J4" s="115" t="s">
        <v>214</v>
      </c>
      <c r="K4" s="115" t="s">
        <v>39</v>
      </c>
      <c r="L4" s="115" t="s">
        <v>180</v>
      </c>
      <c r="M4" s="39" t="s">
        <v>410</v>
      </c>
    </row>
    <row r="5" spans="1:13" s="421" customFormat="1" ht="15" customHeight="1">
      <c r="A5" s="788"/>
      <c r="B5" s="788"/>
      <c r="C5" s="790"/>
      <c r="D5" s="7">
        <v>1</v>
      </c>
      <c r="E5" s="380"/>
      <c r="F5" s="380">
        <v>1</v>
      </c>
      <c r="G5" s="380"/>
      <c r="H5" s="380">
        <v>1</v>
      </c>
      <c r="I5" s="469" t="s">
        <v>212</v>
      </c>
      <c r="J5" s="469" t="s">
        <v>18</v>
      </c>
      <c r="K5" s="380">
        <v>1996</v>
      </c>
      <c r="L5" s="22" t="s">
        <v>245</v>
      </c>
      <c r="M5" s="380">
        <v>18</v>
      </c>
    </row>
    <row r="6" spans="1:13" s="206" customFormat="1" ht="15" customHeight="1">
      <c r="A6" s="1030" t="s">
        <v>75</v>
      </c>
      <c r="B6" s="1030"/>
      <c r="C6" s="104"/>
      <c r="D6" s="104">
        <f>SUM(D5:D5)</f>
        <v>1</v>
      </c>
      <c r="E6" s="104">
        <f>SUM(E5:E5)</f>
        <v>0</v>
      </c>
      <c r="F6" s="104">
        <f>SUM(F5:F5)</f>
        <v>1</v>
      </c>
      <c r="G6" s="104">
        <f>SUM(G5:G5)</f>
        <v>0</v>
      </c>
      <c r="H6" s="104">
        <f>SUM(H5:H5)</f>
        <v>1</v>
      </c>
      <c r="I6" s="104"/>
      <c r="J6" s="104"/>
      <c r="K6" s="104"/>
      <c r="L6" s="204"/>
      <c r="M6" s="104"/>
    </row>
    <row r="7" spans="1:13" s="4" customFormat="1" ht="15" customHeight="1">
      <c r="A7" s="1027" t="s">
        <v>64</v>
      </c>
      <c r="B7" s="1027"/>
      <c r="C7" s="87"/>
      <c r="D7" s="87"/>
      <c r="E7" s="300"/>
      <c r="F7" s="87"/>
      <c r="G7" s="87"/>
      <c r="H7" s="87"/>
      <c r="I7" s="87"/>
      <c r="J7" s="87"/>
      <c r="K7" s="87"/>
      <c r="L7" s="211"/>
      <c r="M7" s="87"/>
    </row>
    <row r="8" spans="1:13" s="50" customFormat="1" ht="48.75" customHeight="1">
      <c r="A8" s="39" t="s">
        <v>332</v>
      </c>
      <c r="B8" s="39" t="s">
        <v>333</v>
      </c>
      <c r="C8" s="39" t="s">
        <v>213</v>
      </c>
      <c r="D8" s="115" t="s">
        <v>36</v>
      </c>
      <c r="E8" s="115" t="s">
        <v>73</v>
      </c>
      <c r="F8" s="115" t="s">
        <v>74</v>
      </c>
      <c r="G8" s="115" t="s">
        <v>37</v>
      </c>
      <c r="H8" s="115" t="s">
        <v>38</v>
      </c>
      <c r="I8" s="115" t="s">
        <v>15</v>
      </c>
      <c r="J8" s="115" t="s">
        <v>214</v>
      </c>
      <c r="K8" s="115" t="s">
        <v>39</v>
      </c>
      <c r="L8" s="115" t="s">
        <v>180</v>
      </c>
      <c r="M8" s="39" t="s">
        <v>410</v>
      </c>
    </row>
    <row r="9" spans="1:13" ht="15" customHeight="1">
      <c r="A9" s="791"/>
      <c r="B9" s="791"/>
      <c r="C9" s="790"/>
      <c r="D9" s="7">
        <v>1</v>
      </c>
      <c r="E9" s="285"/>
      <c r="F9" s="22">
        <v>1</v>
      </c>
      <c r="G9" s="22"/>
      <c r="H9" s="22">
        <v>1</v>
      </c>
      <c r="I9" s="22" t="s">
        <v>32</v>
      </c>
      <c r="J9" s="22" t="s">
        <v>32</v>
      </c>
      <c r="K9" s="22">
        <v>1998</v>
      </c>
      <c r="L9" s="15" t="s">
        <v>245</v>
      </c>
      <c r="M9" s="22">
        <v>2</v>
      </c>
    </row>
    <row r="10" spans="1:13" s="278" customFormat="1" ht="15" customHeight="1">
      <c r="A10" s="791"/>
      <c r="B10" s="791"/>
      <c r="C10" s="790"/>
      <c r="D10" s="1">
        <v>1</v>
      </c>
      <c r="E10" s="22"/>
      <c r="F10" s="22">
        <v>1</v>
      </c>
      <c r="G10" s="22">
        <v>1</v>
      </c>
      <c r="H10" s="22"/>
      <c r="I10" s="22" t="s">
        <v>212</v>
      </c>
      <c r="J10" s="22"/>
      <c r="K10" s="22">
        <v>1966</v>
      </c>
      <c r="L10" s="1106" t="s">
        <v>297</v>
      </c>
      <c r="M10" s="1102">
        <v>56</v>
      </c>
    </row>
    <row r="11" spans="1:13" s="278" customFormat="1" ht="15" customHeight="1">
      <c r="A11" s="791"/>
      <c r="B11" s="791"/>
      <c r="C11" s="790"/>
      <c r="D11" s="22">
        <v>1</v>
      </c>
      <c r="E11" s="22">
        <v>1</v>
      </c>
      <c r="F11" s="22"/>
      <c r="G11" s="21">
        <v>1</v>
      </c>
      <c r="H11" s="22"/>
      <c r="I11" s="22" t="s">
        <v>212</v>
      </c>
      <c r="J11" s="22" t="s">
        <v>212</v>
      </c>
      <c r="K11" s="22">
        <v>2009</v>
      </c>
      <c r="L11" s="1106"/>
      <c r="M11" s="1102"/>
    </row>
    <row r="12" spans="1:13" s="278" customFormat="1" ht="15" customHeight="1">
      <c r="A12" s="791"/>
      <c r="B12" s="791"/>
      <c r="C12" s="790"/>
      <c r="D12" s="22">
        <v>1</v>
      </c>
      <c r="E12" s="22">
        <v>1</v>
      </c>
      <c r="F12" s="22"/>
      <c r="G12" s="21"/>
      <c r="H12" s="22">
        <v>1</v>
      </c>
      <c r="I12" s="22" t="s">
        <v>343</v>
      </c>
      <c r="J12" s="22"/>
      <c r="K12" s="22">
        <v>1998</v>
      </c>
      <c r="L12" s="1" t="s">
        <v>459</v>
      </c>
      <c r="M12" s="22">
        <v>24</v>
      </c>
    </row>
    <row r="13" spans="1:13" ht="15" customHeight="1">
      <c r="A13" s="791"/>
      <c r="B13" s="791"/>
      <c r="C13" s="790"/>
      <c r="D13" s="1">
        <v>1</v>
      </c>
      <c r="E13" s="22"/>
      <c r="F13" s="22">
        <v>1</v>
      </c>
      <c r="G13" s="22"/>
      <c r="H13" s="22">
        <v>1</v>
      </c>
      <c r="I13" s="22" t="s">
        <v>343</v>
      </c>
      <c r="J13" s="22" t="s">
        <v>343</v>
      </c>
      <c r="K13" s="22">
        <v>1995</v>
      </c>
      <c r="L13" s="15" t="s">
        <v>245</v>
      </c>
      <c r="M13" s="22">
        <v>90</v>
      </c>
    </row>
    <row r="14" spans="1:13" s="111" customFormat="1" ht="15" customHeight="1">
      <c r="A14" s="791"/>
      <c r="B14" s="791"/>
      <c r="C14" s="790"/>
      <c r="D14" s="7">
        <v>1</v>
      </c>
      <c r="E14" s="22">
        <v>1</v>
      </c>
      <c r="F14" s="22"/>
      <c r="G14" s="22">
        <v>1</v>
      </c>
      <c r="H14" s="22"/>
      <c r="I14" s="22" t="s">
        <v>212</v>
      </c>
      <c r="J14" s="22"/>
      <c r="K14" s="22">
        <v>1964</v>
      </c>
      <c r="L14" s="1122" t="s">
        <v>246</v>
      </c>
      <c r="M14" s="1102">
        <v>10</v>
      </c>
    </row>
    <row r="15" spans="1:13" s="111" customFormat="1" ht="15" customHeight="1">
      <c r="A15" s="791"/>
      <c r="B15" s="791"/>
      <c r="C15" s="790"/>
      <c r="D15" s="7">
        <v>1</v>
      </c>
      <c r="E15" s="22"/>
      <c r="F15" s="22">
        <v>1</v>
      </c>
      <c r="G15" s="22">
        <v>1</v>
      </c>
      <c r="H15" s="22"/>
      <c r="I15" s="22" t="s">
        <v>212</v>
      </c>
      <c r="J15" s="22"/>
      <c r="K15" s="22">
        <v>1975</v>
      </c>
      <c r="L15" s="1122"/>
      <c r="M15" s="1102"/>
    </row>
    <row r="16" spans="1:13" s="111" customFormat="1" ht="15" customHeight="1">
      <c r="A16" s="791"/>
      <c r="B16" s="791"/>
      <c r="C16" s="790"/>
      <c r="D16" s="7">
        <v>1</v>
      </c>
      <c r="E16" s="22"/>
      <c r="F16" s="22">
        <v>1</v>
      </c>
      <c r="G16" s="22">
        <v>1</v>
      </c>
      <c r="H16" s="22"/>
      <c r="I16" s="22" t="s">
        <v>212</v>
      </c>
      <c r="J16" s="22" t="s">
        <v>212</v>
      </c>
      <c r="K16" s="22">
        <v>2009</v>
      </c>
      <c r="L16" s="1122"/>
      <c r="M16" s="1102"/>
    </row>
    <row r="17" spans="1:13" ht="15" customHeight="1">
      <c r="A17" s="791"/>
      <c r="B17" s="791"/>
      <c r="C17" s="790"/>
      <c r="D17" s="7">
        <v>1</v>
      </c>
      <c r="E17" s="22"/>
      <c r="F17" s="22">
        <v>1</v>
      </c>
      <c r="G17" s="22"/>
      <c r="H17" s="22">
        <v>1</v>
      </c>
      <c r="I17" s="22" t="s">
        <v>427</v>
      </c>
      <c r="J17" s="22"/>
      <c r="K17" s="22">
        <v>1986</v>
      </c>
      <c r="L17" s="1106" t="s">
        <v>297</v>
      </c>
      <c r="M17" s="1102">
        <v>77</v>
      </c>
    </row>
    <row r="18" spans="1:13" ht="14.25" customHeight="1">
      <c r="A18" s="791"/>
      <c r="B18" s="791"/>
      <c r="C18" s="790"/>
      <c r="D18" s="7">
        <v>1</v>
      </c>
      <c r="E18" s="22">
        <v>1</v>
      </c>
      <c r="F18" s="22"/>
      <c r="G18" s="22"/>
      <c r="H18" s="22">
        <v>1</v>
      </c>
      <c r="I18" s="22" t="s">
        <v>212</v>
      </c>
      <c r="J18" s="22" t="s">
        <v>427</v>
      </c>
      <c r="K18" s="22">
        <v>2011</v>
      </c>
      <c r="L18" s="1106"/>
      <c r="M18" s="1102"/>
    </row>
    <row r="19" spans="1:13" ht="15" customHeight="1">
      <c r="A19" s="791"/>
      <c r="B19" s="791"/>
      <c r="C19" s="790"/>
      <c r="D19" s="1">
        <v>1</v>
      </c>
      <c r="E19" s="22"/>
      <c r="F19" s="22">
        <v>1</v>
      </c>
      <c r="G19" s="22"/>
      <c r="H19" s="22">
        <v>1</v>
      </c>
      <c r="I19" s="22" t="s">
        <v>18</v>
      </c>
      <c r="J19" s="15"/>
      <c r="K19" s="22">
        <v>1974</v>
      </c>
      <c r="L19" s="1122" t="s">
        <v>296</v>
      </c>
      <c r="M19" s="1102">
        <v>29</v>
      </c>
    </row>
    <row r="20" spans="1:13" ht="15" customHeight="1">
      <c r="A20" s="791"/>
      <c r="B20" s="791"/>
      <c r="C20" s="790"/>
      <c r="D20" s="1">
        <v>1</v>
      </c>
      <c r="E20" s="22">
        <v>1</v>
      </c>
      <c r="F20" s="22"/>
      <c r="G20" s="22"/>
      <c r="H20" s="22">
        <v>1</v>
      </c>
      <c r="I20" s="22" t="s">
        <v>212</v>
      </c>
      <c r="J20" s="22" t="s">
        <v>18</v>
      </c>
      <c r="K20" s="22">
        <v>1999</v>
      </c>
      <c r="L20" s="1122"/>
      <c r="M20" s="1102"/>
    </row>
    <row r="21" spans="1:13" s="278" customFormat="1" ht="15" customHeight="1">
      <c r="A21" s="794"/>
      <c r="B21" s="794"/>
      <c r="C21" s="790"/>
      <c r="D21" s="1">
        <v>1</v>
      </c>
      <c r="E21" s="22"/>
      <c r="F21" s="22">
        <v>1</v>
      </c>
      <c r="G21" s="22"/>
      <c r="H21" s="22">
        <v>1</v>
      </c>
      <c r="I21" s="22" t="s">
        <v>343</v>
      </c>
      <c r="J21" s="22" t="s">
        <v>343</v>
      </c>
      <c r="K21" s="15">
        <v>1997</v>
      </c>
      <c r="L21" s="15" t="s">
        <v>245</v>
      </c>
      <c r="M21" s="15">
        <v>16</v>
      </c>
    </row>
    <row r="22" spans="1:13" s="213" customFormat="1" ht="15" customHeight="1">
      <c r="A22" s="1030" t="s">
        <v>8</v>
      </c>
      <c r="B22" s="1030"/>
      <c r="C22" s="205"/>
      <c r="D22" s="205">
        <f>SUM(D10:D20)</f>
        <v>11</v>
      </c>
      <c r="E22" s="205">
        <f>SUM(E10:E20)</f>
        <v>5</v>
      </c>
      <c r="F22" s="205">
        <f>SUM(F10:F20)</f>
        <v>6</v>
      </c>
      <c r="G22" s="205">
        <f>SUM(G10:G20)</f>
        <v>5</v>
      </c>
      <c r="H22" s="205">
        <f>SUM(H10:H20)</f>
        <v>6</v>
      </c>
      <c r="I22" s="205"/>
      <c r="J22" s="205"/>
      <c r="K22" s="205"/>
      <c r="L22" s="204"/>
      <c r="M22" s="205"/>
    </row>
    <row r="23" spans="1:13" s="213" customFormat="1" ht="15" customHeight="1">
      <c r="A23" s="1027" t="s">
        <v>67</v>
      </c>
      <c r="B23" s="1027"/>
      <c r="C23" s="87"/>
      <c r="D23" s="87"/>
      <c r="E23" s="300"/>
      <c r="F23" s="87"/>
      <c r="G23" s="87"/>
      <c r="H23" s="87"/>
      <c r="I23" s="87"/>
      <c r="J23" s="87"/>
      <c r="K23" s="87"/>
      <c r="L23" s="211"/>
      <c r="M23" s="87"/>
    </row>
    <row r="24" spans="1:13" s="213" customFormat="1" ht="48.75" customHeight="1">
      <c r="A24" s="39" t="s">
        <v>332</v>
      </c>
      <c r="B24" s="39" t="s">
        <v>333</v>
      </c>
      <c r="C24" s="39" t="s">
        <v>213</v>
      </c>
      <c r="D24" s="115" t="s">
        <v>36</v>
      </c>
      <c r="E24" s="115" t="s">
        <v>73</v>
      </c>
      <c r="F24" s="115" t="s">
        <v>74</v>
      </c>
      <c r="G24" s="115" t="s">
        <v>37</v>
      </c>
      <c r="H24" s="115" t="s">
        <v>38</v>
      </c>
      <c r="I24" s="115" t="s">
        <v>15</v>
      </c>
      <c r="J24" s="115" t="s">
        <v>214</v>
      </c>
      <c r="K24" s="115" t="s">
        <v>39</v>
      </c>
      <c r="L24" s="115" t="s">
        <v>180</v>
      </c>
      <c r="M24" s="39" t="s">
        <v>410</v>
      </c>
    </row>
    <row r="25" spans="1:13" s="213" customFormat="1" ht="15" customHeight="1">
      <c r="A25" s="1030" t="s">
        <v>95</v>
      </c>
      <c r="B25" s="1030"/>
      <c r="C25" s="205"/>
      <c r="D25" s="205">
        <v>0</v>
      </c>
      <c r="E25" s="205">
        <v>0</v>
      </c>
      <c r="F25" s="205">
        <v>0</v>
      </c>
      <c r="G25" s="205">
        <v>0</v>
      </c>
      <c r="H25" s="205">
        <v>0</v>
      </c>
      <c r="I25" s="205"/>
      <c r="J25" s="205"/>
      <c r="K25" s="205"/>
      <c r="L25" s="204"/>
      <c r="M25" s="205"/>
    </row>
    <row r="26" spans="1:13" s="4" customFormat="1" ht="15" customHeight="1">
      <c r="A26" s="1027" t="s">
        <v>68</v>
      </c>
      <c r="B26" s="1027"/>
      <c r="C26" s="87"/>
      <c r="D26" s="87"/>
      <c r="E26" s="300"/>
      <c r="F26" s="87"/>
      <c r="G26" s="87"/>
      <c r="H26" s="87"/>
      <c r="I26" s="87"/>
      <c r="J26" s="87"/>
      <c r="K26" s="87"/>
      <c r="L26" s="211"/>
      <c r="M26" s="87"/>
    </row>
    <row r="27" spans="1:13" s="50" customFormat="1" ht="59.25" customHeight="1">
      <c r="A27" s="39" t="s">
        <v>332</v>
      </c>
      <c r="B27" s="39" t="s">
        <v>333</v>
      </c>
      <c r="C27" s="39" t="s">
        <v>213</v>
      </c>
      <c r="D27" s="115" t="s">
        <v>36</v>
      </c>
      <c r="E27" s="115" t="s">
        <v>73</v>
      </c>
      <c r="F27" s="115" t="s">
        <v>74</v>
      </c>
      <c r="G27" s="115" t="s">
        <v>37</v>
      </c>
      <c r="H27" s="115" t="s">
        <v>38</v>
      </c>
      <c r="I27" s="115" t="s">
        <v>15</v>
      </c>
      <c r="J27" s="115" t="s">
        <v>214</v>
      </c>
      <c r="K27" s="115" t="s">
        <v>39</v>
      </c>
      <c r="L27" s="115" t="s">
        <v>180</v>
      </c>
      <c r="M27" s="39" t="s">
        <v>410</v>
      </c>
    </row>
    <row r="28" spans="1:13" s="111" customFormat="1" ht="15" customHeight="1">
      <c r="A28" s="793"/>
      <c r="B28" s="793"/>
      <c r="C28" s="801"/>
      <c r="D28" s="7">
        <v>1</v>
      </c>
      <c r="E28" s="409">
        <v>1</v>
      </c>
      <c r="F28" s="7"/>
      <c r="G28" s="1">
        <v>1</v>
      </c>
      <c r="H28" s="7"/>
      <c r="I28" s="409" t="s">
        <v>212</v>
      </c>
      <c r="J28" s="418" t="s">
        <v>212</v>
      </c>
      <c r="K28" s="409">
        <v>1999</v>
      </c>
      <c r="L28" s="22" t="s">
        <v>459</v>
      </c>
      <c r="M28" s="409">
        <v>59</v>
      </c>
    </row>
    <row r="29" spans="1:13" s="111" customFormat="1" ht="15" customHeight="1">
      <c r="A29" s="789"/>
      <c r="B29" s="789"/>
      <c r="C29" s="835"/>
      <c r="D29" s="7">
        <v>1</v>
      </c>
      <c r="E29" s="409">
        <v>1</v>
      </c>
      <c r="F29" s="7"/>
      <c r="G29" s="1"/>
      <c r="H29" s="7">
        <v>1</v>
      </c>
      <c r="I29" s="434" t="s">
        <v>212</v>
      </c>
      <c r="J29" s="440" t="s">
        <v>498</v>
      </c>
      <c r="K29" s="434">
        <v>2006</v>
      </c>
      <c r="L29" s="22" t="s">
        <v>459</v>
      </c>
      <c r="M29" s="434">
        <v>102</v>
      </c>
    </row>
    <row r="30" spans="1:13" s="213" customFormat="1" ht="15" customHeight="1">
      <c r="A30" s="1030" t="s">
        <v>478</v>
      </c>
      <c r="B30" s="1030"/>
      <c r="C30" s="202"/>
      <c r="D30" s="202">
        <f>SUM(D28:D29)</f>
        <v>2</v>
      </c>
      <c r="E30" s="202">
        <f>SUM(E28:E29)</f>
        <v>2</v>
      </c>
      <c r="F30" s="202">
        <f>SUM(F28:F28)</f>
        <v>0</v>
      </c>
      <c r="G30" s="202">
        <f>SUM(G28:G28)</f>
        <v>1</v>
      </c>
      <c r="H30" s="202">
        <f>SUM(H29)</f>
        <v>1</v>
      </c>
      <c r="I30" s="312"/>
      <c r="J30" s="207"/>
      <c r="K30" s="207"/>
      <c r="L30" s="339"/>
      <c r="M30" s="207"/>
    </row>
    <row r="31" spans="1:13" s="4" customFormat="1" ht="15" customHeight="1">
      <c r="A31" s="1027" t="s">
        <v>65</v>
      </c>
      <c r="B31" s="1027"/>
      <c r="C31" s="87"/>
      <c r="D31" s="87"/>
      <c r="E31" s="300"/>
      <c r="F31" s="87"/>
      <c r="G31" s="87"/>
      <c r="H31" s="87"/>
      <c r="I31" s="87"/>
      <c r="J31" s="87"/>
      <c r="K31" s="87"/>
      <c r="L31" s="211"/>
      <c r="M31" s="87"/>
    </row>
    <row r="32" spans="1:13" s="50" customFormat="1" ht="59.25" customHeight="1">
      <c r="A32" s="39" t="s">
        <v>332</v>
      </c>
      <c r="B32" s="39" t="s">
        <v>333</v>
      </c>
      <c r="C32" s="39" t="s">
        <v>213</v>
      </c>
      <c r="D32" s="115" t="s">
        <v>36</v>
      </c>
      <c r="E32" s="115" t="s">
        <v>73</v>
      </c>
      <c r="F32" s="115" t="s">
        <v>74</v>
      </c>
      <c r="G32" s="115" t="s">
        <v>37</v>
      </c>
      <c r="H32" s="115" t="s">
        <v>38</v>
      </c>
      <c r="I32" s="115" t="s">
        <v>15</v>
      </c>
      <c r="J32" s="115" t="s">
        <v>214</v>
      </c>
      <c r="K32" s="115" t="s">
        <v>39</v>
      </c>
      <c r="L32" s="115" t="s">
        <v>180</v>
      </c>
      <c r="M32" s="39" t="s">
        <v>410</v>
      </c>
    </row>
    <row r="33" spans="1:13" s="4" customFormat="1" ht="15" customHeight="1">
      <c r="A33" s="789"/>
      <c r="B33" s="789"/>
      <c r="C33" s="835"/>
      <c r="D33" s="7">
        <v>1</v>
      </c>
      <c r="E33" s="409"/>
      <c r="F33" s="409">
        <v>1</v>
      </c>
      <c r="G33" s="409">
        <v>1</v>
      </c>
      <c r="H33" s="409"/>
      <c r="I33" s="418" t="s">
        <v>212</v>
      </c>
      <c r="J33" s="418"/>
      <c r="K33" s="418">
        <v>1985</v>
      </c>
      <c r="L33" s="1102" t="s">
        <v>298</v>
      </c>
      <c r="M33" s="1153">
        <v>13</v>
      </c>
    </row>
    <row r="34" spans="1:13" s="4" customFormat="1" ht="15" customHeight="1">
      <c r="A34" s="789"/>
      <c r="B34" s="789"/>
      <c r="C34" s="835"/>
      <c r="D34" s="7">
        <v>1</v>
      </c>
      <c r="E34" s="409">
        <v>1</v>
      </c>
      <c r="F34" s="409"/>
      <c r="G34" s="409">
        <v>1</v>
      </c>
      <c r="H34" s="409"/>
      <c r="I34" s="418" t="s">
        <v>212</v>
      </c>
      <c r="J34" s="418" t="s">
        <v>212</v>
      </c>
      <c r="K34" s="418">
        <v>2012</v>
      </c>
      <c r="L34" s="1102"/>
      <c r="M34" s="1153"/>
    </row>
    <row r="35" spans="1:13" s="4" customFormat="1" ht="15" customHeight="1">
      <c r="A35" s="789"/>
      <c r="B35" s="789"/>
      <c r="C35" s="835"/>
      <c r="D35" s="7">
        <v>1</v>
      </c>
      <c r="E35" s="409"/>
      <c r="F35" s="409">
        <v>1</v>
      </c>
      <c r="G35" s="409">
        <v>1</v>
      </c>
      <c r="H35" s="409"/>
      <c r="I35" s="418" t="s">
        <v>212</v>
      </c>
      <c r="J35" s="418" t="s">
        <v>212</v>
      </c>
      <c r="K35" s="418">
        <v>2011</v>
      </c>
      <c r="L35" s="1102"/>
      <c r="M35" s="1153"/>
    </row>
    <row r="36" spans="1:13" s="4" customFormat="1" ht="15" customHeight="1">
      <c r="A36" s="789"/>
      <c r="B36" s="789"/>
      <c r="C36" s="835"/>
      <c r="D36" s="7">
        <v>1</v>
      </c>
      <c r="E36" s="409">
        <v>1</v>
      </c>
      <c r="F36" s="409"/>
      <c r="G36" s="409">
        <v>1</v>
      </c>
      <c r="H36" s="409"/>
      <c r="I36" s="418" t="s">
        <v>212</v>
      </c>
      <c r="J36" s="418" t="s">
        <v>212</v>
      </c>
      <c r="K36" s="418">
        <v>2001</v>
      </c>
      <c r="L36" s="1102"/>
      <c r="M36" s="1153"/>
    </row>
    <row r="37" spans="1:13" s="4" customFormat="1" ht="15" customHeight="1">
      <c r="A37" s="789"/>
      <c r="B37" s="789"/>
      <c r="C37" s="835"/>
      <c r="D37" s="7">
        <v>1</v>
      </c>
      <c r="E37" s="409"/>
      <c r="F37" s="409">
        <v>1</v>
      </c>
      <c r="G37" s="409">
        <v>1</v>
      </c>
      <c r="H37" s="409"/>
      <c r="I37" s="418" t="s">
        <v>212</v>
      </c>
      <c r="J37" s="418" t="s">
        <v>212</v>
      </c>
      <c r="K37" s="418">
        <v>1997</v>
      </c>
      <c r="L37" s="22" t="s">
        <v>459</v>
      </c>
      <c r="M37" s="418">
        <v>99</v>
      </c>
    </row>
    <row r="38" spans="1:13" s="213" customFormat="1" ht="15" customHeight="1">
      <c r="A38" s="1030" t="s">
        <v>340</v>
      </c>
      <c r="B38" s="1030"/>
      <c r="C38" s="202"/>
      <c r="D38" s="202">
        <f>SUM(D33:D37)</f>
        <v>5</v>
      </c>
      <c r="E38" s="202">
        <f>SUM(E33:E37)</f>
        <v>2</v>
      </c>
      <c r="F38" s="202">
        <f>SUM(F32:F37)</f>
        <v>3</v>
      </c>
      <c r="G38" s="202">
        <f>SUM(G33:G37)</f>
        <v>5</v>
      </c>
      <c r="H38" s="202">
        <v>0</v>
      </c>
      <c r="I38" s="312"/>
      <c r="J38" s="207"/>
      <c r="K38" s="207"/>
      <c r="L38" s="339"/>
      <c r="M38" s="207"/>
    </row>
    <row r="39" spans="1:13" s="213" customFormat="1" ht="15" customHeight="1">
      <c r="A39" s="1027" t="s">
        <v>69</v>
      </c>
      <c r="B39" s="1027"/>
      <c r="C39" s="87"/>
      <c r="D39" s="87"/>
      <c r="E39" s="300"/>
      <c r="F39" s="87"/>
      <c r="G39" s="87"/>
      <c r="H39" s="87"/>
      <c r="I39" s="87"/>
      <c r="J39" s="87"/>
      <c r="K39" s="87"/>
      <c r="L39" s="211"/>
      <c r="M39" s="87"/>
    </row>
    <row r="40" spans="1:13" s="213" customFormat="1" ht="48" customHeight="1">
      <c r="A40" s="39" t="s">
        <v>332</v>
      </c>
      <c r="B40" s="39" t="s">
        <v>333</v>
      </c>
      <c r="C40" s="39" t="s">
        <v>213</v>
      </c>
      <c r="D40" s="115" t="s">
        <v>36</v>
      </c>
      <c r="E40" s="115" t="s">
        <v>73</v>
      </c>
      <c r="F40" s="115" t="s">
        <v>74</v>
      </c>
      <c r="G40" s="115" t="s">
        <v>37</v>
      </c>
      <c r="H40" s="115" t="s">
        <v>38</v>
      </c>
      <c r="I40" s="115" t="s">
        <v>15</v>
      </c>
      <c r="J40" s="115" t="s">
        <v>214</v>
      </c>
      <c r="K40" s="115" t="s">
        <v>39</v>
      </c>
      <c r="L40" s="115" t="s">
        <v>180</v>
      </c>
      <c r="M40" s="39" t="s">
        <v>410</v>
      </c>
    </row>
    <row r="41" spans="1:13" s="213" customFormat="1" ht="15" customHeight="1">
      <c r="A41" s="1030" t="s">
        <v>13</v>
      </c>
      <c r="B41" s="1030"/>
      <c r="C41" s="205"/>
      <c r="D41" s="205">
        <v>0</v>
      </c>
      <c r="E41" s="205">
        <v>0</v>
      </c>
      <c r="F41" s="205">
        <v>0</v>
      </c>
      <c r="G41" s="205">
        <v>0</v>
      </c>
      <c r="H41" s="205">
        <v>0</v>
      </c>
      <c r="I41" s="205"/>
      <c r="J41" s="205"/>
      <c r="K41" s="205"/>
      <c r="L41" s="204"/>
      <c r="M41" s="205"/>
    </row>
    <row r="42" spans="1:13" s="4" customFormat="1" ht="15" customHeight="1">
      <c r="A42" s="1027" t="s">
        <v>70</v>
      </c>
      <c r="B42" s="1027"/>
      <c r="C42" s="87"/>
      <c r="D42" s="365"/>
      <c r="E42" s="314"/>
      <c r="F42" s="314"/>
      <c r="G42" s="314"/>
      <c r="H42" s="314"/>
      <c r="I42" s="315"/>
      <c r="J42" s="314"/>
      <c r="K42" s="314"/>
      <c r="L42" s="103"/>
      <c r="M42" s="314"/>
    </row>
    <row r="43" spans="1:13" s="111" customFormat="1" ht="15" customHeight="1">
      <c r="A43" s="790"/>
      <c r="B43" s="790"/>
      <c r="C43" s="792"/>
      <c r="D43" s="1">
        <v>1</v>
      </c>
      <c r="E43" s="22">
        <v>1</v>
      </c>
      <c r="F43" s="77"/>
      <c r="G43" s="77">
        <v>1</v>
      </c>
      <c r="H43" s="22"/>
      <c r="I43" s="22" t="s">
        <v>212</v>
      </c>
      <c r="J43" s="222" t="s">
        <v>115</v>
      </c>
      <c r="K43" s="78">
        <v>1996</v>
      </c>
      <c r="L43" s="22" t="s">
        <v>459</v>
      </c>
      <c r="M43" s="78">
        <v>40</v>
      </c>
    </row>
    <row r="44" spans="1:13" s="213" customFormat="1" ht="15" customHeight="1">
      <c r="A44" s="1030" t="s">
        <v>341</v>
      </c>
      <c r="B44" s="1030"/>
      <c r="C44" s="202"/>
      <c r="D44" s="205">
        <f>SUM(D43:D43)</f>
        <v>1</v>
      </c>
      <c r="E44" s="205">
        <f>SUM(E43:E43)</f>
        <v>1</v>
      </c>
      <c r="F44" s="205">
        <f>SUM(F43:F43)</f>
        <v>0</v>
      </c>
      <c r="G44" s="205">
        <f>SUM(G43:G43)</f>
        <v>1</v>
      </c>
      <c r="H44" s="205">
        <f>SUM(H43:H43)</f>
        <v>0</v>
      </c>
      <c r="I44" s="312"/>
      <c r="J44" s="207"/>
      <c r="K44" s="207"/>
      <c r="L44" s="204"/>
      <c r="M44" s="207"/>
    </row>
    <row r="45" spans="1:13" s="213" customFormat="1" ht="15" customHeight="1">
      <c r="A45" s="1027" t="s">
        <v>71</v>
      </c>
      <c r="B45" s="1027"/>
      <c r="C45" s="87"/>
      <c r="D45" s="87"/>
      <c r="E45" s="300"/>
      <c r="F45" s="87"/>
      <c r="G45" s="87"/>
      <c r="H45" s="87"/>
      <c r="I45" s="87"/>
      <c r="J45" s="87"/>
      <c r="K45" s="87"/>
      <c r="L45" s="211"/>
      <c r="M45" s="87"/>
    </row>
    <row r="46" spans="1:13" s="213" customFormat="1" ht="48" customHeight="1">
      <c r="A46" s="39" t="s">
        <v>332</v>
      </c>
      <c r="B46" s="39" t="s">
        <v>333</v>
      </c>
      <c r="C46" s="39" t="s">
        <v>213</v>
      </c>
      <c r="D46" s="115" t="s">
        <v>36</v>
      </c>
      <c r="E46" s="115" t="s">
        <v>73</v>
      </c>
      <c r="F46" s="115" t="s">
        <v>74</v>
      </c>
      <c r="G46" s="115" t="s">
        <v>37</v>
      </c>
      <c r="H46" s="115" t="s">
        <v>38</v>
      </c>
      <c r="I46" s="115" t="s">
        <v>15</v>
      </c>
      <c r="J46" s="115" t="s">
        <v>214</v>
      </c>
      <c r="K46" s="115" t="s">
        <v>39</v>
      </c>
      <c r="L46" s="115" t="s">
        <v>180</v>
      </c>
      <c r="M46" s="39" t="s">
        <v>410</v>
      </c>
    </row>
    <row r="47" spans="1:13" s="213" customFormat="1" ht="15" customHeight="1">
      <c r="A47" s="1030" t="s">
        <v>22</v>
      </c>
      <c r="B47" s="1030"/>
      <c r="C47" s="205"/>
      <c r="D47" s="205">
        <v>0</v>
      </c>
      <c r="E47" s="205">
        <v>0</v>
      </c>
      <c r="F47" s="205">
        <v>0</v>
      </c>
      <c r="G47" s="205">
        <v>0</v>
      </c>
      <c r="H47" s="205">
        <v>0</v>
      </c>
      <c r="I47" s="205"/>
      <c r="J47" s="205"/>
      <c r="K47" s="205"/>
      <c r="L47" s="204"/>
      <c r="M47" s="205"/>
    </row>
    <row r="48" spans="1:13" s="4" customFormat="1" ht="15" customHeight="1">
      <c r="A48" s="1027" t="s">
        <v>72</v>
      </c>
      <c r="B48" s="1027"/>
      <c r="C48" s="87"/>
      <c r="D48" s="365"/>
      <c r="E48" s="314"/>
      <c r="F48" s="314"/>
      <c r="G48" s="314"/>
      <c r="H48" s="314"/>
      <c r="I48" s="315"/>
      <c r="J48" s="314"/>
      <c r="K48" s="314"/>
      <c r="L48" s="103"/>
      <c r="M48" s="314"/>
    </row>
    <row r="49" spans="1:13" s="4" customFormat="1" ht="48.75" customHeight="1">
      <c r="A49" s="615"/>
      <c r="B49" s="615"/>
      <c r="C49" s="87"/>
      <c r="D49" s="365"/>
      <c r="E49" s="314"/>
      <c r="F49" s="314"/>
      <c r="G49" s="314"/>
      <c r="H49" s="314"/>
      <c r="I49" s="315"/>
      <c r="J49" s="314"/>
      <c r="K49" s="314"/>
      <c r="L49" s="103"/>
      <c r="M49" s="314"/>
    </row>
    <row r="50" spans="1:13" s="4" customFormat="1" ht="15" customHeight="1">
      <c r="A50" s="858"/>
      <c r="B50" s="859"/>
      <c r="C50" s="838"/>
      <c r="D50" s="1">
        <v>1</v>
      </c>
      <c r="E50" s="22"/>
      <c r="F50" s="22">
        <v>1</v>
      </c>
      <c r="G50" s="22">
        <v>1</v>
      </c>
      <c r="H50" s="285"/>
      <c r="I50" s="22" t="s">
        <v>212</v>
      </c>
      <c r="J50" s="222" t="s">
        <v>212</v>
      </c>
      <c r="K50" s="22">
        <v>1994</v>
      </c>
      <c r="L50" s="22" t="s">
        <v>459</v>
      </c>
      <c r="M50" s="418">
        <v>5</v>
      </c>
    </row>
    <row r="51" spans="1:13" s="4" customFormat="1" ht="15" customHeight="1">
      <c r="A51" s="860"/>
      <c r="B51" s="860"/>
      <c r="C51" s="838"/>
      <c r="D51" s="1">
        <v>1</v>
      </c>
      <c r="E51" s="22">
        <v>1</v>
      </c>
      <c r="F51" s="22"/>
      <c r="G51" s="22"/>
      <c r="H51" s="22">
        <v>1</v>
      </c>
      <c r="I51" s="222" t="s">
        <v>18</v>
      </c>
      <c r="J51" s="222"/>
      <c r="K51" s="2">
        <v>1980</v>
      </c>
      <c r="L51" s="1106" t="s">
        <v>247</v>
      </c>
      <c r="M51" s="1153">
        <v>42</v>
      </c>
    </row>
    <row r="52" spans="1:13" s="4" customFormat="1" ht="15" customHeight="1">
      <c r="A52" s="860"/>
      <c r="B52" s="860"/>
      <c r="C52" s="838"/>
      <c r="D52" s="1">
        <v>1</v>
      </c>
      <c r="E52" s="22"/>
      <c r="F52" s="22">
        <v>1</v>
      </c>
      <c r="G52" s="22"/>
      <c r="H52" s="22">
        <v>1</v>
      </c>
      <c r="I52" s="1" t="s">
        <v>18</v>
      </c>
      <c r="J52" s="22"/>
      <c r="K52" s="2">
        <v>1982</v>
      </c>
      <c r="L52" s="1106"/>
      <c r="M52" s="1153"/>
    </row>
    <row r="53" spans="1:13" s="4" customFormat="1" ht="15" customHeight="1">
      <c r="A53" s="860"/>
      <c r="B53" s="860"/>
      <c r="C53" s="838"/>
      <c r="D53" s="1">
        <v>1</v>
      </c>
      <c r="E53" s="22">
        <v>1</v>
      </c>
      <c r="F53" s="22"/>
      <c r="G53" s="22"/>
      <c r="H53" s="22">
        <v>1</v>
      </c>
      <c r="I53" s="22" t="s">
        <v>212</v>
      </c>
      <c r="J53" s="1" t="s">
        <v>18</v>
      </c>
      <c r="K53" s="2">
        <v>2012</v>
      </c>
      <c r="L53" s="1106"/>
      <c r="M53" s="1153"/>
    </row>
    <row r="54" spans="1:13" s="215" customFormat="1" ht="15" customHeight="1">
      <c r="A54" s="1035" t="s">
        <v>328</v>
      </c>
      <c r="B54" s="1035"/>
      <c r="C54" s="362"/>
      <c r="D54" s="104">
        <f>SUM(D50:D53)</f>
        <v>4</v>
      </c>
      <c r="E54" s="104">
        <f>SUM(E54:E54)</f>
        <v>2</v>
      </c>
      <c r="F54" s="104">
        <f>SUM(F50:F53)</f>
        <v>2</v>
      </c>
      <c r="G54" s="104">
        <f>SUM(G50:G53)</f>
        <v>1</v>
      </c>
      <c r="H54" s="104">
        <f>SUM(H51:H53)</f>
        <v>3</v>
      </c>
      <c r="I54" s="319"/>
      <c r="J54" s="207"/>
      <c r="K54" s="207"/>
      <c r="L54" s="204"/>
      <c r="M54" s="207"/>
    </row>
    <row r="55" spans="1:13" s="66" customFormat="1" ht="15" customHeight="1">
      <c r="A55" s="1037" t="s">
        <v>468</v>
      </c>
      <c r="B55" s="1037"/>
      <c r="C55" s="107"/>
      <c r="D55" s="101">
        <f>D54+D44+D38+D30+D22+D6</f>
        <v>24</v>
      </c>
      <c r="E55" s="193">
        <v>12</v>
      </c>
      <c r="F55" s="101">
        <f>F54+F44+F38+F30+F22+F6</f>
        <v>12</v>
      </c>
      <c r="G55" s="101">
        <f>G54+G44+G38+G30+G22+G6</f>
        <v>13</v>
      </c>
      <c r="H55" s="101">
        <f>H54+H44+H38+H30+H22+H6</f>
        <v>11</v>
      </c>
      <c r="I55" s="150"/>
      <c r="J55" s="350"/>
      <c r="K55" s="350"/>
      <c r="L55" s="201"/>
      <c r="M55" s="350"/>
    </row>
    <row r="56" spans="10:13" ht="12.75">
      <c r="J56" s="292"/>
      <c r="K56" s="292"/>
      <c r="M56" s="292"/>
    </row>
  </sheetData>
  <mergeCells count="33">
    <mergeCell ref="A39:B39"/>
    <mergeCell ref="A41:B41"/>
    <mergeCell ref="A45:B45"/>
    <mergeCell ref="A47:B47"/>
    <mergeCell ref="A1:L1"/>
    <mergeCell ref="A55:B55"/>
    <mergeCell ref="A54:B54"/>
    <mergeCell ref="A44:B44"/>
    <mergeCell ref="A38:B38"/>
    <mergeCell ref="A31:B31"/>
    <mergeCell ref="A48:B48"/>
    <mergeCell ref="A42:B42"/>
    <mergeCell ref="A7:B7"/>
    <mergeCell ref="A2:M2"/>
    <mergeCell ref="L10:L11"/>
    <mergeCell ref="L14:L16"/>
    <mergeCell ref="M10:M11"/>
    <mergeCell ref="A30:B30"/>
    <mergeCell ref="A26:B26"/>
    <mergeCell ref="A22:B22"/>
    <mergeCell ref="M14:M16"/>
    <mergeCell ref="A23:B23"/>
    <mergeCell ref="A25:B25"/>
    <mergeCell ref="A3:B3"/>
    <mergeCell ref="A6:B6"/>
    <mergeCell ref="L51:L53"/>
    <mergeCell ref="M51:M53"/>
    <mergeCell ref="L17:L18"/>
    <mergeCell ref="L19:L20"/>
    <mergeCell ref="L33:L36"/>
    <mergeCell ref="M33:M36"/>
    <mergeCell ref="M17:M18"/>
    <mergeCell ref="M19:M20"/>
  </mergeCells>
  <printOptions/>
  <pageMargins left="0.1968503937007874" right="0.1968503937007874" top="0.1968503937007874" bottom="0.1968503937007874" header="0.5118110236220472" footer="0.1968503937007874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7"/>
  </sheetPr>
  <dimension ref="A1:IG294"/>
  <sheetViews>
    <sheetView workbookViewId="0" topLeftCell="A244">
      <selection activeCell="A282" sqref="A282:C291"/>
    </sheetView>
  </sheetViews>
  <sheetFormatPr defaultColWidth="9.140625" defaultRowHeight="12.75"/>
  <cols>
    <col min="1" max="1" width="21.7109375" style="24" customWidth="1"/>
    <col min="2" max="2" width="30.8515625" style="24" customWidth="1"/>
    <col min="3" max="3" width="20.7109375" style="24" customWidth="1"/>
    <col min="4" max="4" width="7.57421875" style="24" customWidth="1"/>
    <col min="5" max="6" width="5.7109375" style="24" customWidth="1"/>
    <col min="7" max="8" width="9.7109375" style="24" customWidth="1"/>
    <col min="9" max="9" width="13.7109375" style="24" customWidth="1"/>
    <col min="10" max="10" width="23.00390625" style="24" customWidth="1"/>
    <col min="11" max="11" width="10.140625" style="24" customWidth="1"/>
    <col min="12" max="12" width="21.00390625" style="54" customWidth="1"/>
    <col min="13" max="16384" width="11.57421875" style="54" customWidth="1"/>
  </cols>
  <sheetData>
    <row r="1" spans="1:12" ht="30" customHeight="1">
      <c r="A1" s="1007" t="s">
        <v>461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40"/>
    </row>
    <row r="2" spans="1:12" s="135" customFormat="1" ht="48.75" customHeight="1">
      <c r="A2" s="1044" t="s">
        <v>176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</row>
    <row r="3" spans="1:12" s="4" customFormat="1" ht="18.75" customHeight="1">
      <c r="A3" s="1028" t="s">
        <v>66</v>
      </c>
      <c r="B3" s="1029"/>
      <c r="C3" s="87"/>
      <c r="D3" s="87"/>
      <c r="E3" s="300"/>
      <c r="F3" s="87"/>
      <c r="G3" s="87"/>
      <c r="H3" s="87"/>
      <c r="I3" s="87"/>
      <c r="J3" s="87"/>
      <c r="K3" s="87"/>
      <c r="L3" s="87"/>
    </row>
    <row r="4" spans="1:12" s="50" customFormat="1" ht="30" customHeight="1">
      <c r="A4" s="39" t="s">
        <v>332</v>
      </c>
      <c r="B4" s="39" t="s">
        <v>333</v>
      </c>
      <c r="C4" s="39" t="s">
        <v>213</v>
      </c>
      <c r="D4" s="115" t="s">
        <v>36</v>
      </c>
      <c r="E4" s="115" t="s">
        <v>73</v>
      </c>
      <c r="F4" s="115" t="s">
        <v>74</v>
      </c>
      <c r="G4" s="115" t="s">
        <v>37</v>
      </c>
      <c r="H4" s="115" t="s">
        <v>38</v>
      </c>
      <c r="I4" s="115" t="s">
        <v>15</v>
      </c>
      <c r="J4" s="115" t="s">
        <v>214</v>
      </c>
      <c r="K4" s="115" t="s">
        <v>39</v>
      </c>
      <c r="L4" s="115" t="s">
        <v>2</v>
      </c>
    </row>
    <row r="5" spans="1:12" s="52" customFormat="1" ht="15" customHeight="1">
      <c r="A5" s="791"/>
      <c r="B5" s="791"/>
      <c r="C5" s="790"/>
      <c r="D5" s="15">
        <v>1</v>
      </c>
      <c r="E5" s="15"/>
      <c r="F5" s="15">
        <v>1</v>
      </c>
      <c r="G5" s="15"/>
      <c r="H5" s="15">
        <v>1</v>
      </c>
      <c r="I5" s="15"/>
      <c r="J5" s="15" t="s">
        <v>343</v>
      </c>
      <c r="K5" s="15">
        <v>2002</v>
      </c>
      <c r="L5" s="22" t="s">
        <v>490</v>
      </c>
    </row>
    <row r="6" spans="1:12" s="52" customFormat="1" ht="15" customHeight="1">
      <c r="A6" s="861"/>
      <c r="B6" s="861"/>
      <c r="C6" s="808"/>
      <c r="D6" s="21">
        <v>1</v>
      </c>
      <c r="E6" s="393"/>
      <c r="F6" s="393">
        <v>1</v>
      </c>
      <c r="G6" s="393">
        <v>1</v>
      </c>
      <c r="H6" s="393"/>
      <c r="I6" s="451" t="s">
        <v>212</v>
      </c>
      <c r="J6" s="22" t="s">
        <v>212</v>
      </c>
      <c r="K6" s="393">
        <v>2012</v>
      </c>
      <c r="L6" s="22" t="s">
        <v>490</v>
      </c>
    </row>
    <row r="7" spans="1:12" s="52" customFormat="1" ht="15" customHeight="1">
      <c r="A7" s="791"/>
      <c r="B7" s="791"/>
      <c r="C7" s="790"/>
      <c r="D7" s="15">
        <v>1</v>
      </c>
      <c r="E7" s="15">
        <v>1</v>
      </c>
      <c r="F7" s="15"/>
      <c r="G7" s="15">
        <v>1</v>
      </c>
      <c r="H7" s="15"/>
      <c r="I7" s="358" t="s">
        <v>16</v>
      </c>
      <c r="J7" s="358" t="s">
        <v>150</v>
      </c>
      <c r="K7" s="15">
        <v>1997</v>
      </c>
      <c r="L7" s="22" t="s">
        <v>490</v>
      </c>
    </row>
    <row r="8" spans="1:12" s="52" customFormat="1" ht="15" customHeight="1">
      <c r="A8" s="791"/>
      <c r="B8" s="791"/>
      <c r="C8" s="790"/>
      <c r="D8" s="15">
        <v>1</v>
      </c>
      <c r="E8" s="15">
        <v>1</v>
      </c>
      <c r="F8" s="15"/>
      <c r="G8" s="15"/>
      <c r="H8" s="15">
        <v>1</v>
      </c>
      <c r="I8" s="15" t="s">
        <v>343</v>
      </c>
      <c r="J8" s="15" t="s">
        <v>343</v>
      </c>
      <c r="K8" s="15">
        <v>2007</v>
      </c>
      <c r="L8" s="22" t="s">
        <v>490</v>
      </c>
    </row>
    <row r="9" spans="1:12" s="136" customFormat="1" ht="15" customHeight="1">
      <c r="A9" s="1157" t="s">
        <v>299</v>
      </c>
      <c r="B9" s="1158"/>
      <c r="C9" s="107"/>
      <c r="D9" s="107">
        <f>SUM(D5:D8)</f>
        <v>4</v>
      </c>
      <c r="E9" s="107">
        <f>SUM(E7:E8)</f>
        <v>2</v>
      </c>
      <c r="F9" s="107">
        <f>SUM(F5:F8)</f>
        <v>2</v>
      </c>
      <c r="G9" s="107">
        <f>SUM(G5:G8)</f>
        <v>2</v>
      </c>
      <c r="H9" s="107">
        <f>SUM(H5:H8)</f>
        <v>2</v>
      </c>
      <c r="I9" s="30"/>
      <c r="J9" s="30"/>
      <c r="K9" s="30"/>
      <c r="L9" s="30"/>
    </row>
    <row r="10" spans="1:12" s="136" customFormat="1" ht="15" customHeight="1">
      <c r="A10" s="862"/>
      <c r="B10" s="862"/>
      <c r="C10" s="808"/>
      <c r="D10" s="347">
        <v>1</v>
      </c>
      <c r="E10" s="22">
        <v>1</v>
      </c>
      <c r="F10" s="376"/>
      <c r="G10" s="376"/>
      <c r="H10" s="22">
        <v>1</v>
      </c>
      <c r="I10" s="358" t="s">
        <v>212</v>
      </c>
      <c r="J10" s="358" t="s">
        <v>18</v>
      </c>
      <c r="K10" s="351">
        <v>2009</v>
      </c>
      <c r="L10" s="22" t="s">
        <v>492</v>
      </c>
    </row>
    <row r="11" spans="1:12" s="52" customFormat="1" ht="15" customHeight="1">
      <c r="A11" s="791"/>
      <c r="B11" s="791"/>
      <c r="C11" s="790"/>
      <c r="D11" s="15">
        <v>1</v>
      </c>
      <c r="E11" s="15"/>
      <c r="F11" s="15">
        <v>1</v>
      </c>
      <c r="G11" s="22">
        <v>1</v>
      </c>
      <c r="H11" s="15"/>
      <c r="I11" s="358" t="s">
        <v>212</v>
      </c>
      <c r="J11" s="15" t="s">
        <v>150</v>
      </c>
      <c r="K11" s="15">
        <v>2009</v>
      </c>
      <c r="L11" s="22" t="s">
        <v>492</v>
      </c>
    </row>
    <row r="12" spans="1:12" s="52" customFormat="1" ht="15" customHeight="1">
      <c r="A12" s="806"/>
      <c r="B12" s="806"/>
      <c r="C12" s="808"/>
      <c r="D12" s="15">
        <v>1</v>
      </c>
      <c r="E12" s="393">
        <v>1</v>
      </c>
      <c r="F12" s="393"/>
      <c r="G12" s="409"/>
      <c r="H12" s="409">
        <v>1</v>
      </c>
      <c r="I12" s="394" t="s">
        <v>212</v>
      </c>
      <c r="J12" s="394" t="s">
        <v>326</v>
      </c>
      <c r="K12" s="393">
        <v>2005</v>
      </c>
      <c r="L12" s="22" t="s">
        <v>492</v>
      </c>
    </row>
    <row r="13" spans="1:12" s="52" customFormat="1" ht="15" customHeight="1">
      <c r="A13" s="863"/>
      <c r="B13" s="788"/>
      <c r="C13" s="812"/>
      <c r="D13" s="351">
        <v>1</v>
      </c>
      <c r="E13" s="351"/>
      <c r="F13" s="351">
        <v>1</v>
      </c>
      <c r="G13" s="351"/>
      <c r="H13" s="351">
        <v>1</v>
      </c>
      <c r="I13" s="358" t="s">
        <v>212</v>
      </c>
      <c r="J13" s="358" t="s">
        <v>18</v>
      </c>
      <c r="K13" s="351">
        <v>1996</v>
      </c>
      <c r="L13" s="22" t="s">
        <v>492</v>
      </c>
    </row>
    <row r="14" spans="1:12" s="52" customFormat="1" ht="15" customHeight="1">
      <c r="A14" s="806"/>
      <c r="B14" s="807"/>
      <c r="C14" s="808"/>
      <c r="D14" s="351">
        <v>1</v>
      </c>
      <c r="E14" s="351"/>
      <c r="F14" s="351">
        <v>1</v>
      </c>
      <c r="G14" s="351"/>
      <c r="H14" s="351">
        <v>1</v>
      </c>
      <c r="I14" s="358" t="s">
        <v>212</v>
      </c>
      <c r="J14" s="358" t="s">
        <v>31</v>
      </c>
      <c r="K14" s="15">
        <v>2001</v>
      </c>
      <c r="L14" s="22" t="s">
        <v>492</v>
      </c>
    </row>
    <row r="15" spans="1:12" s="52" customFormat="1" ht="15" customHeight="1">
      <c r="A15" s="806"/>
      <c r="B15" s="807"/>
      <c r="C15" s="808"/>
      <c r="D15" s="21">
        <v>1</v>
      </c>
      <c r="E15" s="351"/>
      <c r="F15" s="351">
        <v>1</v>
      </c>
      <c r="G15" s="351"/>
      <c r="H15" s="351">
        <v>1</v>
      </c>
      <c r="I15" s="358" t="s">
        <v>212</v>
      </c>
      <c r="J15" s="358" t="s">
        <v>31</v>
      </c>
      <c r="K15" s="15">
        <v>1996</v>
      </c>
      <c r="L15" s="22" t="s">
        <v>492</v>
      </c>
    </row>
    <row r="16" spans="1:12" s="52" customFormat="1" ht="15" customHeight="1">
      <c r="A16" s="791"/>
      <c r="B16" s="791"/>
      <c r="C16" s="790"/>
      <c r="D16" s="351">
        <v>1</v>
      </c>
      <c r="E16" s="15">
        <v>1</v>
      </c>
      <c r="F16" s="15"/>
      <c r="G16" s="15"/>
      <c r="H16" s="15">
        <v>1</v>
      </c>
      <c r="I16" s="358" t="s">
        <v>212</v>
      </c>
      <c r="J16" s="358" t="s">
        <v>31</v>
      </c>
      <c r="K16" s="15">
        <v>2004</v>
      </c>
      <c r="L16" s="22" t="s">
        <v>492</v>
      </c>
    </row>
    <row r="17" spans="1:12" s="52" customFormat="1" ht="15" customHeight="1">
      <c r="A17" s="791"/>
      <c r="B17" s="791"/>
      <c r="C17" s="790"/>
      <c r="D17" s="351">
        <v>1</v>
      </c>
      <c r="E17" s="15"/>
      <c r="F17" s="15">
        <v>1</v>
      </c>
      <c r="G17" s="15"/>
      <c r="H17" s="15">
        <v>1</v>
      </c>
      <c r="I17" s="358" t="s">
        <v>212</v>
      </c>
      <c r="J17" s="358" t="s">
        <v>31</v>
      </c>
      <c r="K17" s="15">
        <v>1999</v>
      </c>
      <c r="L17" s="22" t="s">
        <v>492</v>
      </c>
    </row>
    <row r="18" spans="1:12" s="52" customFormat="1" ht="15" customHeight="1">
      <c r="A18" s="791"/>
      <c r="B18" s="791"/>
      <c r="C18" s="790"/>
      <c r="D18" s="351">
        <v>1</v>
      </c>
      <c r="E18" s="15">
        <v>1</v>
      </c>
      <c r="F18" s="15"/>
      <c r="G18" s="15">
        <v>1</v>
      </c>
      <c r="H18" s="15"/>
      <c r="I18" s="394" t="s">
        <v>212</v>
      </c>
      <c r="J18" s="394" t="s">
        <v>212</v>
      </c>
      <c r="K18" s="15">
        <v>1998</v>
      </c>
      <c r="L18" s="22" t="s">
        <v>492</v>
      </c>
    </row>
    <row r="19" spans="1:12" s="52" customFormat="1" ht="15" customHeight="1">
      <c r="A19" s="791"/>
      <c r="B19" s="791"/>
      <c r="C19" s="808"/>
      <c r="D19" s="351">
        <v>1</v>
      </c>
      <c r="E19" s="15"/>
      <c r="F19" s="15">
        <v>1</v>
      </c>
      <c r="G19" s="15">
        <v>1</v>
      </c>
      <c r="H19" s="15"/>
      <c r="I19" s="394" t="s">
        <v>212</v>
      </c>
      <c r="J19" s="394" t="s">
        <v>212</v>
      </c>
      <c r="K19" s="15">
        <v>1996</v>
      </c>
      <c r="L19" s="22" t="s">
        <v>492</v>
      </c>
    </row>
    <row r="20" spans="1:12" s="52" customFormat="1" ht="15" customHeight="1">
      <c r="A20" s="791"/>
      <c r="B20" s="791"/>
      <c r="C20" s="813"/>
      <c r="D20" s="7">
        <v>1</v>
      </c>
      <c r="E20" s="427"/>
      <c r="F20" s="379">
        <v>1</v>
      </c>
      <c r="G20" s="379">
        <v>1</v>
      </c>
      <c r="H20" s="409"/>
      <c r="I20" s="428" t="s">
        <v>212</v>
      </c>
      <c r="J20" s="428" t="s">
        <v>155</v>
      </c>
      <c r="K20" s="484">
        <v>2007</v>
      </c>
      <c r="L20" s="22" t="s">
        <v>492</v>
      </c>
    </row>
    <row r="21" spans="1:12" s="52" customFormat="1" ht="15" customHeight="1">
      <c r="A21" s="820"/>
      <c r="B21" s="820"/>
      <c r="C21" s="792"/>
      <c r="D21" s="21">
        <v>1</v>
      </c>
      <c r="E21" s="393">
        <v>1</v>
      </c>
      <c r="F21" s="393"/>
      <c r="G21" s="393">
        <v>1</v>
      </c>
      <c r="H21" s="393"/>
      <c r="I21" s="394" t="s">
        <v>212</v>
      </c>
      <c r="J21" s="394" t="s">
        <v>212</v>
      </c>
      <c r="K21" s="393">
        <v>2000</v>
      </c>
      <c r="L21" s="22" t="s">
        <v>492</v>
      </c>
    </row>
    <row r="22" spans="1:12" s="52" customFormat="1" ht="15" customHeight="1">
      <c r="A22" s="862"/>
      <c r="B22" s="864"/>
      <c r="C22" s="792"/>
      <c r="D22" s="351">
        <v>1</v>
      </c>
      <c r="E22" s="351">
        <v>1</v>
      </c>
      <c r="F22" s="351"/>
      <c r="G22" s="351"/>
      <c r="H22" s="351">
        <v>1</v>
      </c>
      <c r="I22" s="358" t="s">
        <v>212</v>
      </c>
      <c r="J22" s="358" t="s">
        <v>31</v>
      </c>
      <c r="K22" s="15">
        <v>2008</v>
      </c>
      <c r="L22" s="22" t="s">
        <v>492</v>
      </c>
    </row>
    <row r="23" spans="1:12" s="52" customFormat="1" ht="15" customHeight="1">
      <c r="A23" s="791"/>
      <c r="B23" s="791"/>
      <c r="C23" s="790"/>
      <c r="D23" s="351">
        <v>1</v>
      </c>
      <c r="E23" s="15">
        <v>1</v>
      </c>
      <c r="F23" s="15"/>
      <c r="G23" s="15"/>
      <c r="H23" s="15">
        <v>1</v>
      </c>
      <c r="I23" s="358" t="s">
        <v>212</v>
      </c>
      <c r="J23" s="358" t="s">
        <v>31</v>
      </c>
      <c r="K23" s="15">
        <v>2011</v>
      </c>
      <c r="L23" s="22" t="s">
        <v>492</v>
      </c>
    </row>
    <row r="24" spans="1:12" s="52" customFormat="1" ht="15" customHeight="1">
      <c r="A24" s="791"/>
      <c r="B24" s="791"/>
      <c r="C24" s="790"/>
      <c r="D24" s="351">
        <v>1</v>
      </c>
      <c r="E24" s="15">
        <v>1</v>
      </c>
      <c r="F24" s="15"/>
      <c r="G24" s="15"/>
      <c r="H24" s="15">
        <v>1</v>
      </c>
      <c r="I24" s="358" t="s">
        <v>212</v>
      </c>
      <c r="J24" s="15" t="s">
        <v>33</v>
      </c>
      <c r="K24" s="15">
        <v>2007</v>
      </c>
      <c r="L24" s="22" t="s">
        <v>492</v>
      </c>
    </row>
    <row r="25" spans="1:12" s="52" customFormat="1" ht="15" customHeight="1">
      <c r="A25" s="791"/>
      <c r="B25" s="791"/>
      <c r="C25" s="790"/>
      <c r="D25" s="351">
        <v>1</v>
      </c>
      <c r="E25" s="15"/>
      <c r="F25" s="15">
        <v>1</v>
      </c>
      <c r="G25" s="15">
        <v>1</v>
      </c>
      <c r="H25" s="15"/>
      <c r="I25" s="15" t="s">
        <v>212</v>
      </c>
      <c r="J25" s="15" t="s">
        <v>212</v>
      </c>
      <c r="K25" s="15">
        <v>1995</v>
      </c>
      <c r="L25" s="22" t="s">
        <v>492</v>
      </c>
    </row>
    <row r="26" spans="1:12" s="52" customFormat="1" ht="15" customHeight="1">
      <c r="A26" s="791"/>
      <c r="B26" s="791"/>
      <c r="C26" s="790"/>
      <c r="D26" s="351">
        <v>1</v>
      </c>
      <c r="E26" s="15">
        <v>1</v>
      </c>
      <c r="F26" s="15"/>
      <c r="G26" s="15"/>
      <c r="H26" s="15">
        <v>1</v>
      </c>
      <c r="I26" s="15" t="s">
        <v>16</v>
      </c>
      <c r="J26" s="15" t="s">
        <v>16</v>
      </c>
      <c r="K26" s="15">
        <v>1999</v>
      </c>
      <c r="L26" s="22" t="s">
        <v>492</v>
      </c>
    </row>
    <row r="27" spans="1:12" s="52" customFormat="1" ht="15" customHeight="1">
      <c r="A27" s="791"/>
      <c r="B27" s="791"/>
      <c r="C27" s="790"/>
      <c r="D27" s="351">
        <v>1</v>
      </c>
      <c r="E27" s="15">
        <v>1</v>
      </c>
      <c r="F27" s="15"/>
      <c r="G27" s="15"/>
      <c r="H27" s="15">
        <v>1</v>
      </c>
      <c r="I27" s="15" t="s">
        <v>212</v>
      </c>
      <c r="J27" s="15" t="s">
        <v>326</v>
      </c>
      <c r="K27" s="15">
        <v>2001</v>
      </c>
      <c r="L27" s="22" t="s">
        <v>492</v>
      </c>
    </row>
    <row r="28" spans="1:12" s="52" customFormat="1" ht="15" customHeight="1">
      <c r="A28" s="791"/>
      <c r="B28" s="791"/>
      <c r="C28" s="790"/>
      <c r="D28" s="351">
        <v>1</v>
      </c>
      <c r="E28" s="15">
        <v>1</v>
      </c>
      <c r="F28" s="15"/>
      <c r="G28" s="15"/>
      <c r="H28" s="15">
        <v>1</v>
      </c>
      <c r="I28" s="15" t="s">
        <v>212</v>
      </c>
      <c r="J28" s="15" t="s">
        <v>326</v>
      </c>
      <c r="K28" s="15">
        <v>2001</v>
      </c>
      <c r="L28" s="22" t="s">
        <v>492</v>
      </c>
    </row>
    <row r="29" spans="1:12" s="52" customFormat="1" ht="15" customHeight="1">
      <c r="A29" s="865"/>
      <c r="B29" s="791"/>
      <c r="C29" s="790"/>
      <c r="D29" s="7">
        <v>1</v>
      </c>
      <c r="E29" s="429"/>
      <c r="F29" s="380">
        <v>1</v>
      </c>
      <c r="G29" s="380">
        <v>1</v>
      </c>
      <c r="H29" s="409"/>
      <c r="I29" s="22" t="s">
        <v>212</v>
      </c>
      <c r="J29" s="22" t="s">
        <v>212</v>
      </c>
      <c r="K29" s="380">
        <v>2008</v>
      </c>
      <c r="L29" s="22" t="s">
        <v>492</v>
      </c>
    </row>
    <row r="30" spans="1:12" s="52" customFormat="1" ht="15" customHeight="1">
      <c r="A30" s="791"/>
      <c r="B30" s="791"/>
      <c r="C30" s="790"/>
      <c r="D30" s="15">
        <v>1</v>
      </c>
      <c r="E30" s="15">
        <v>1</v>
      </c>
      <c r="F30" s="15"/>
      <c r="G30" s="15">
        <v>1</v>
      </c>
      <c r="H30" s="15"/>
      <c r="I30" s="22" t="s">
        <v>212</v>
      </c>
      <c r="J30" s="22" t="s">
        <v>212</v>
      </c>
      <c r="K30" s="15">
        <v>1999</v>
      </c>
      <c r="L30" s="22" t="s">
        <v>492</v>
      </c>
    </row>
    <row r="31" spans="1:12" s="136" customFormat="1" ht="15" customHeight="1">
      <c r="A31" s="1073" t="s">
        <v>300</v>
      </c>
      <c r="B31" s="1156"/>
      <c r="C31" s="107"/>
      <c r="D31" s="107">
        <f>SUM(D10:D30)</f>
        <v>21</v>
      </c>
      <c r="E31" s="107">
        <f>SUM(E10:E30)</f>
        <v>12</v>
      </c>
      <c r="F31" s="107">
        <f>SUM(F10:F30)</f>
        <v>9</v>
      </c>
      <c r="G31" s="107">
        <f>SUM(G10:G30)</f>
        <v>8</v>
      </c>
      <c r="H31" s="107">
        <f>SUM(H10:H30)</f>
        <v>13</v>
      </c>
      <c r="I31" s="107"/>
      <c r="J31" s="107"/>
      <c r="K31" s="107"/>
      <c r="L31" s="107"/>
    </row>
    <row r="32" spans="1:12" s="52" customFormat="1" ht="15" customHeight="1">
      <c r="A32" s="791"/>
      <c r="B32" s="791"/>
      <c r="C32" s="790"/>
      <c r="D32" s="15">
        <v>1</v>
      </c>
      <c r="E32" s="15">
        <v>1</v>
      </c>
      <c r="F32" s="15"/>
      <c r="G32" s="15"/>
      <c r="H32" s="15">
        <v>1</v>
      </c>
      <c r="I32" s="15" t="s">
        <v>212</v>
      </c>
      <c r="J32" s="15" t="s">
        <v>487</v>
      </c>
      <c r="K32" s="15">
        <v>2006</v>
      </c>
      <c r="L32" s="22" t="s">
        <v>494</v>
      </c>
    </row>
    <row r="33" spans="1:12" s="52" customFormat="1" ht="15" customHeight="1">
      <c r="A33" s="791"/>
      <c r="B33" s="791"/>
      <c r="C33" s="790"/>
      <c r="D33" s="15">
        <v>1</v>
      </c>
      <c r="E33" s="15"/>
      <c r="F33" s="15">
        <v>1</v>
      </c>
      <c r="G33" s="15"/>
      <c r="H33" s="15">
        <v>1</v>
      </c>
      <c r="I33" s="15" t="s">
        <v>212</v>
      </c>
      <c r="J33" s="15" t="s">
        <v>427</v>
      </c>
      <c r="K33" s="15">
        <v>2007</v>
      </c>
      <c r="L33" s="22" t="s">
        <v>494</v>
      </c>
    </row>
    <row r="34" spans="1:12" s="52" customFormat="1" ht="15" customHeight="1">
      <c r="A34" s="791"/>
      <c r="B34" s="791"/>
      <c r="C34" s="790"/>
      <c r="D34" s="15">
        <v>1</v>
      </c>
      <c r="E34" s="15"/>
      <c r="F34" s="15">
        <v>1</v>
      </c>
      <c r="G34" s="15"/>
      <c r="H34" s="15">
        <v>1</v>
      </c>
      <c r="I34" s="15" t="s">
        <v>212</v>
      </c>
      <c r="J34" s="15" t="s">
        <v>326</v>
      </c>
      <c r="K34" s="15">
        <v>1996</v>
      </c>
      <c r="L34" s="22" t="s">
        <v>494</v>
      </c>
    </row>
    <row r="35" spans="1:12" s="52" customFormat="1" ht="15" customHeight="1">
      <c r="A35" s="791"/>
      <c r="B35" s="791"/>
      <c r="C35" s="790"/>
      <c r="D35" s="15">
        <v>1</v>
      </c>
      <c r="E35" s="15">
        <v>1</v>
      </c>
      <c r="F35" s="15"/>
      <c r="G35" s="15">
        <v>1</v>
      </c>
      <c r="H35" s="15"/>
      <c r="I35" s="22" t="s">
        <v>212</v>
      </c>
      <c r="J35" s="22" t="s">
        <v>212</v>
      </c>
      <c r="K35" s="15">
        <v>2005</v>
      </c>
      <c r="L35" s="22" t="s">
        <v>494</v>
      </c>
    </row>
    <row r="36" spans="1:12" s="52" customFormat="1" ht="15" customHeight="1">
      <c r="A36" s="862"/>
      <c r="B36" s="866"/>
      <c r="C36" s="792"/>
      <c r="D36" s="15">
        <v>1</v>
      </c>
      <c r="E36" s="15">
        <v>1</v>
      </c>
      <c r="F36" s="15"/>
      <c r="G36" s="15"/>
      <c r="H36" s="351">
        <v>1</v>
      </c>
      <c r="I36" s="358" t="s">
        <v>212</v>
      </c>
      <c r="J36" s="358" t="s">
        <v>31</v>
      </c>
      <c r="K36" s="15">
        <v>2001</v>
      </c>
      <c r="L36" s="22" t="s">
        <v>494</v>
      </c>
    </row>
    <row r="37" spans="1:12" s="52" customFormat="1" ht="15" customHeight="1">
      <c r="A37" s="862"/>
      <c r="B37" s="862"/>
      <c r="C37" s="792"/>
      <c r="D37" s="15">
        <v>1</v>
      </c>
      <c r="E37" s="15">
        <v>1</v>
      </c>
      <c r="F37" s="15"/>
      <c r="G37" s="15"/>
      <c r="H37" s="351">
        <v>1</v>
      </c>
      <c r="I37" s="358" t="s">
        <v>212</v>
      </c>
      <c r="J37" s="358" t="s">
        <v>31</v>
      </c>
      <c r="K37" s="15">
        <v>1995</v>
      </c>
      <c r="L37" s="22" t="s">
        <v>494</v>
      </c>
    </row>
    <row r="38" spans="1:12" s="52" customFormat="1" ht="15" customHeight="1">
      <c r="A38" s="791"/>
      <c r="B38" s="791"/>
      <c r="C38" s="790"/>
      <c r="D38" s="15">
        <v>1</v>
      </c>
      <c r="E38" s="15">
        <v>1</v>
      </c>
      <c r="F38" s="15"/>
      <c r="G38" s="15">
        <v>1</v>
      </c>
      <c r="H38" s="15"/>
      <c r="I38" s="22" t="s">
        <v>212</v>
      </c>
      <c r="J38" s="22" t="s">
        <v>212</v>
      </c>
      <c r="K38" s="15">
        <v>2001</v>
      </c>
      <c r="L38" s="22" t="s">
        <v>494</v>
      </c>
    </row>
    <row r="39" spans="1:12" s="52" customFormat="1" ht="15" customHeight="1">
      <c r="A39" s="791"/>
      <c r="B39" s="791"/>
      <c r="C39" s="790"/>
      <c r="D39" s="15">
        <v>1</v>
      </c>
      <c r="E39" s="15"/>
      <c r="F39" s="15">
        <v>1</v>
      </c>
      <c r="G39" s="15">
        <v>1</v>
      </c>
      <c r="H39" s="15"/>
      <c r="I39" s="22" t="s">
        <v>212</v>
      </c>
      <c r="J39" s="22" t="s">
        <v>212</v>
      </c>
      <c r="K39" s="15">
        <v>2008</v>
      </c>
      <c r="L39" s="22" t="s">
        <v>494</v>
      </c>
    </row>
    <row r="40" spans="1:12" s="52" customFormat="1" ht="15" customHeight="1">
      <c r="A40" s="791"/>
      <c r="B40" s="791"/>
      <c r="C40" s="790"/>
      <c r="D40" s="15">
        <v>1</v>
      </c>
      <c r="E40" s="15"/>
      <c r="F40" s="15">
        <v>1</v>
      </c>
      <c r="G40" s="15">
        <v>1</v>
      </c>
      <c r="H40" s="15"/>
      <c r="I40" s="22" t="s">
        <v>212</v>
      </c>
      <c r="J40" s="22" t="s">
        <v>212</v>
      </c>
      <c r="K40" s="15">
        <v>1996</v>
      </c>
      <c r="L40" s="22" t="s">
        <v>494</v>
      </c>
    </row>
    <row r="41" spans="1:12" s="136" customFormat="1" ht="15" customHeight="1">
      <c r="A41" s="1073" t="s">
        <v>303</v>
      </c>
      <c r="B41" s="1156"/>
      <c r="C41" s="107"/>
      <c r="D41" s="107">
        <f>SUM(D32:D40)</f>
        <v>9</v>
      </c>
      <c r="E41" s="107">
        <f>SUM(E32:E40)</f>
        <v>5</v>
      </c>
      <c r="F41" s="107">
        <f>SUM(F32:F40)</f>
        <v>4</v>
      </c>
      <c r="G41" s="107">
        <f>SUM(G32:G40)</f>
        <v>4</v>
      </c>
      <c r="H41" s="107">
        <f>SUM(H32:H40)</f>
        <v>5</v>
      </c>
      <c r="I41" s="107"/>
      <c r="J41" s="107"/>
      <c r="K41" s="107"/>
      <c r="L41" s="107"/>
    </row>
    <row r="42" spans="1:12" s="52" customFormat="1" ht="15" customHeight="1">
      <c r="A42" s="1058" t="s">
        <v>75</v>
      </c>
      <c r="B42" s="1059"/>
      <c r="C42" s="107"/>
      <c r="D42" s="107">
        <f>D41+D31+D9</f>
        <v>34</v>
      </c>
      <c r="E42" s="107">
        <f>E41+E31+E9</f>
        <v>19</v>
      </c>
      <c r="F42" s="107">
        <f>F41+F31+F9</f>
        <v>15</v>
      </c>
      <c r="G42" s="107">
        <f>G41+G31+G9</f>
        <v>14</v>
      </c>
      <c r="H42" s="107">
        <f>H41+H31+H9</f>
        <v>20</v>
      </c>
      <c r="I42" s="107"/>
      <c r="J42" s="107"/>
      <c r="K42" s="107"/>
      <c r="L42" s="107"/>
    </row>
    <row r="43" spans="1:12" s="51" customFormat="1" ht="15" customHeight="1">
      <c r="A43" s="1159" t="s">
        <v>64</v>
      </c>
      <c r="B43" s="1160"/>
      <c r="C43" s="19"/>
      <c r="D43" s="19"/>
      <c r="E43" s="19"/>
      <c r="F43" s="19"/>
      <c r="G43" s="19"/>
      <c r="H43" s="19"/>
      <c r="I43" s="19"/>
      <c r="J43" s="19"/>
      <c r="K43" s="19"/>
      <c r="L43" s="39"/>
    </row>
    <row r="44" spans="1:12" s="50" customFormat="1" ht="30" customHeight="1">
      <c r="A44" s="39" t="s">
        <v>332</v>
      </c>
      <c r="B44" s="39" t="s">
        <v>333</v>
      </c>
      <c r="C44" s="39" t="s">
        <v>213</v>
      </c>
      <c r="D44" s="115" t="s">
        <v>36</v>
      </c>
      <c r="E44" s="115" t="s">
        <v>73</v>
      </c>
      <c r="F44" s="115" t="s">
        <v>74</v>
      </c>
      <c r="G44" s="115" t="s">
        <v>37</v>
      </c>
      <c r="H44" s="115" t="s">
        <v>38</v>
      </c>
      <c r="I44" s="115" t="s">
        <v>15</v>
      </c>
      <c r="J44" s="115" t="s">
        <v>214</v>
      </c>
      <c r="K44" s="115" t="s">
        <v>39</v>
      </c>
      <c r="L44" s="115" t="s">
        <v>2</v>
      </c>
    </row>
    <row r="45" spans="1:12" s="52" customFormat="1" ht="15" customHeight="1">
      <c r="A45" s="806"/>
      <c r="B45" s="806"/>
      <c r="C45" s="808"/>
      <c r="D45" s="22">
        <v>1</v>
      </c>
      <c r="E45" s="247">
        <v>1</v>
      </c>
      <c r="F45" s="22"/>
      <c r="G45" s="22"/>
      <c r="H45" s="22">
        <v>1</v>
      </c>
      <c r="I45" s="22" t="s">
        <v>212</v>
      </c>
      <c r="J45" s="22" t="s">
        <v>31</v>
      </c>
      <c r="K45" s="22">
        <v>2010</v>
      </c>
      <c r="L45" s="22" t="s">
        <v>490</v>
      </c>
    </row>
    <row r="46" spans="1:12" s="52" customFormat="1" ht="15" customHeight="1">
      <c r="A46" s="806"/>
      <c r="B46" s="806"/>
      <c r="C46" s="808"/>
      <c r="D46" s="22">
        <v>1</v>
      </c>
      <c r="E46" s="247"/>
      <c r="F46" s="22">
        <v>1</v>
      </c>
      <c r="G46" s="22"/>
      <c r="H46" s="22">
        <v>1</v>
      </c>
      <c r="I46" s="22" t="s">
        <v>212</v>
      </c>
      <c r="J46" s="22" t="s">
        <v>343</v>
      </c>
      <c r="K46" s="22">
        <v>2012</v>
      </c>
      <c r="L46" s="22" t="s">
        <v>490</v>
      </c>
    </row>
    <row r="47" spans="1:12" ht="15" customHeight="1">
      <c r="A47" s="806"/>
      <c r="B47" s="806"/>
      <c r="C47" s="808"/>
      <c r="D47" s="22">
        <v>1</v>
      </c>
      <c r="E47" s="247"/>
      <c r="F47" s="22">
        <v>1</v>
      </c>
      <c r="G47" s="22"/>
      <c r="H47" s="22">
        <v>1</v>
      </c>
      <c r="I47" s="22" t="s">
        <v>212</v>
      </c>
      <c r="J47" s="22" t="s">
        <v>16</v>
      </c>
      <c r="K47" s="22">
        <v>2002</v>
      </c>
      <c r="L47" s="22" t="s">
        <v>490</v>
      </c>
    </row>
    <row r="48" spans="1:12" ht="15" customHeight="1">
      <c r="A48" s="791"/>
      <c r="B48" s="807"/>
      <c r="C48" s="790"/>
      <c r="D48" s="1">
        <v>1</v>
      </c>
      <c r="E48" s="247"/>
      <c r="F48" s="1">
        <v>1</v>
      </c>
      <c r="G48" s="1">
        <v>1</v>
      </c>
      <c r="H48" s="1"/>
      <c r="I48" s="22" t="s">
        <v>220</v>
      </c>
      <c r="J48" s="22" t="s">
        <v>150</v>
      </c>
      <c r="K48" s="22">
        <v>1995</v>
      </c>
      <c r="L48" s="22" t="s">
        <v>490</v>
      </c>
    </row>
    <row r="49" spans="1:12" ht="15" customHeight="1">
      <c r="A49" s="806"/>
      <c r="B49" s="807"/>
      <c r="C49" s="792"/>
      <c r="D49" s="247">
        <v>1</v>
      </c>
      <c r="E49" s="22">
        <v>1</v>
      </c>
      <c r="F49" s="22"/>
      <c r="G49" s="22"/>
      <c r="H49" s="22">
        <v>1</v>
      </c>
      <c r="I49" s="22" t="s">
        <v>212</v>
      </c>
      <c r="J49" s="22" t="s">
        <v>17</v>
      </c>
      <c r="K49" s="15">
        <v>2003</v>
      </c>
      <c r="L49" s="22" t="s">
        <v>490</v>
      </c>
    </row>
    <row r="50" spans="1:12" ht="15" customHeight="1">
      <c r="A50" s="806"/>
      <c r="B50" s="807"/>
      <c r="C50" s="792"/>
      <c r="D50" s="15">
        <v>1</v>
      </c>
      <c r="E50" s="15"/>
      <c r="F50" s="15">
        <v>1</v>
      </c>
      <c r="G50" s="15"/>
      <c r="H50" s="15">
        <v>1</v>
      </c>
      <c r="I50" s="15" t="s">
        <v>18</v>
      </c>
      <c r="J50" s="15" t="s">
        <v>18</v>
      </c>
      <c r="K50" s="15">
        <v>1997</v>
      </c>
      <c r="L50" s="22"/>
    </row>
    <row r="51" spans="1:12" ht="15" customHeight="1">
      <c r="A51" s="807"/>
      <c r="B51" s="816"/>
      <c r="C51" s="792"/>
      <c r="D51" s="15">
        <v>1</v>
      </c>
      <c r="E51" s="22"/>
      <c r="F51" s="22">
        <v>1</v>
      </c>
      <c r="G51" s="22">
        <v>1</v>
      </c>
      <c r="H51" s="22"/>
      <c r="I51" s="22" t="s">
        <v>212</v>
      </c>
      <c r="J51" s="15" t="s">
        <v>212</v>
      </c>
      <c r="K51" s="22">
        <v>1999</v>
      </c>
      <c r="L51" s="22" t="s">
        <v>490</v>
      </c>
    </row>
    <row r="52" spans="1:12" ht="15" customHeight="1">
      <c r="A52" s="791"/>
      <c r="B52" s="867"/>
      <c r="C52" s="790"/>
      <c r="D52" s="1">
        <v>1</v>
      </c>
      <c r="E52" s="247">
        <v>1</v>
      </c>
      <c r="F52" s="22"/>
      <c r="G52" s="22"/>
      <c r="H52" s="22">
        <v>1</v>
      </c>
      <c r="I52" s="22" t="s">
        <v>212</v>
      </c>
      <c r="J52" s="15" t="s">
        <v>343</v>
      </c>
      <c r="K52" s="15">
        <v>2010</v>
      </c>
      <c r="L52" s="22" t="s">
        <v>490</v>
      </c>
    </row>
    <row r="53" spans="1:12" s="136" customFormat="1" ht="15" customHeight="1">
      <c r="A53" s="1073" t="s">
        <v>301</v>
      </c>
      <c r="B53" s="1156"/>
      <c r="C53" s="107"/>
      <c r="D53" s="107">
        <f>SUM(D45:D52)</f>
        <v>8</v>
      </c>
      <c r="E53" s="107">
        <f>SUM(E45:E52)</f>
        <v>3</v>
      </c>
      <c r="F53" s="107">
        <f>SUM(F45:F52)</f>
        <v>5</v>
      </c>
      <c r="G53" s="107">
        <f>SUM(G45:G52)</f>
        <v>2</v>
      </c>
      <c r="H53" s="107">
        <f>SUM(H45:H52)</f>
        <v>6</v>
      </c>
      <c r="I53" s="107"/>
      <c r="J53" s="107"/>
      <c r="K53" s="107"/>
      <c r="L53" s="107"/>
    </row>
    <row r="54" spans="1:12" s="52" customFormat="1" ht="15" customHeight="1">
      <c r="A54" s="791"/>
      <c r="B54" s="791"/>
      <c r="C54" s="790"/>
      <c r="D54" s="15">
        <v>1</v>
      </c>
      <c r="E54" s="15">
        <v>1</v>
      </c>
      <c r="F54" s="15"/>
      <c r="G54" s="15">
        <v>1</v>
      </c>
      <c r="H54" s="15"/>
      <c r="I54" s="22" t="s">
        <v>212</v>
      </c>
      <c r="J54" s="15" t="s">
        <v>212</v>
      </c>
      <c r="K54" s="15">
        <v>1995</v>
      </c>
      <c r="L54" s="22" t="s">
        <v>492</v>
      </c>
    </row>
    <row r="55" spans="1:12" ht="15" customHeight="1">
      <c r="A55" s="806"/>
      <c r="B55" s="806"/>
      <c r="C55" s="808"/>
      <c r="D55" s="15">
        <v>1</v>
      </c>
      <c r="E55" s="15">
        <v>1</v>
      </c>
      <c r="F55" s="15"/>
      <c r="G55" s="15">
        <v>1</v>
      </c>
      <c r="H55" s="15"/>
      <c r="I55" s="22" t="s">
        <v>212</v>
      </c>
      <c r="J55" s="15" t="s">
        <v>212</v>
      </c>
      <c r="K55" s="15">
        <v>2004</v>
      </c>
      <c r="L55" s="22" t="s">
        <v>492</v>
      </c>
    </row>
    <row r="56" spans="1:12" ht="15" customHeight="1">
      <c r="A56" s="806"/>
      <c r="B56" s="806"/>
      <c r="C56" s="868"/>
      <c r="D56" s="15">
        <v>1</v>
      </c>
      <c r="E56" s="15"/>
      <c r="F56" s="15">
        <v>1</v>
      </c>
      <c r="G56" s="15">
        <v>1</v>
      </c>
      <c r="H56" s="15"/>
      <c r="I56" s="22" t="s">
        <v>212</v>
      </c>
      <c r="J56" s="22" t="s">
        <v>212</v>
      </c>
      <c r="K56" s="15">
        <v>1996</v>
      </c>
      <c r="L56" s="22" t="s">
        <v>492</v>
      </c>
    </row>
    <row r="57" spans="1:12" ht="15" customHeight="1">
      <c r="A57" s="806"/>
      <c r="B57" s="806"/>
      <c r="C57" s="808"/>
      <c r="D57" s="15">
        <v>1</v>
      </c>
      <c r="E57" s="15"/>
      <c r="F57" s="15">
        <v>1</v>
      </c>
      <c r="G57" s="15">
        <v>1</v>
      </c>
      <c r="H57" s="15"/>
      <c r="I57" s="22" t="s">
        <v>212</v>
      </c>
      <c r="J57" s="22" t="s">
        <v>212</v>
      </c>
      <c r="K57" s="15">
        <v>2001</v>
      </c>
      <c r="L57" s="22" t="s">
        <v>492</v>
      </c>
    </row>
    <row r="58" spans="1:12" ht="15" customHeight="1">
      <c r="A58" s="791"/>
      <c r="B58" s="807"/>
      <c r="C58" s="808"/>
      <c r="D58" s="7">
        <v>1</v>
      </c>
      <c r="E58" s="247">
        <v>1</v>
      </c>
      <c r="F58" s="22"/>
      <c r="G58" s="22"/>
      <c r="H58" s="22">
        <v>1</v>
      </c>
      <c r="I58" s="22" t="s">
        <v>212</v>
      </c>
      <c r="J58" s="22" t="s">
        <v>427</v>
      </c>
      <c r="K58" s="22">
        <v>2011</v>
      </c>
      <c r="L58" s="22" t="s">
        <v>492</v>
      </c>
    </row>
    <row r="59" spans="1:12" ht="15" customHeight="1">
      <c r="A59" s="791"/>
      <c r="B59" s="791"/>
      <c r="C59" s="808"/>
      <c r="D59" s="15">
        <v>1</v>
      </c>
      <c r="E59" s="15">
        <v>1</v>
      </c>
      <c r="F59" s="15"/>
      <c r="G59" s="15">
        <v>1</v>
      </c>
      <c r="H59" s="15"/>
      <c r="I59" s="22" t="s">
        <v>212</v>
      </c>
      <c r="J59" s="22" t="s">
        <v>212</v>
      </c>
      <c r="K59" s="22">
        <v>1996</v>
      </c>
      <c r="L59" s="22" t="s">
        <v>492</v>
      </c>
    </row>
    <row r="60" spans="1:12" ht="15" customHeight="1">
      <c r="A60" s="791"/>
      <c r="B60" s="791"/>
      <c r="C60" s="790"/>
      <c r="D60" s="15">
        <v>1</v>
      </c>
      <c r="E60" s="15">
        <v>1</v>
      </c>
      <c r="F60" s="15"/>
      <c r="G60" s="15">
        <v>1</v>
      </c>
      <c r="H60" s="15"/>
      <c r="I60" s="22" t="s">
        <v>212</v>
      </c>
      <c r="J60" s="22" t="s">
        <v>212</v>
      </c>
      <c r="K60" s="15">
        <v>2007</v>
      </c>
      <c r="L60" s="22" t="s">
        <v>492</v>
      </c>
    </row>
    <row r="61" spans="1:12" ht="15" customHeight="1">
      <c r="A61" s="791"/>
      <c r="B61" s="791"/>
      <c r="C61" s="790"/>
      <c r="D61" s="15">
        <v>1</v>
      </c>
      <c r="E61" s="15">
        <v>1</v>
      </c>
      <c r="F61" s="15"/>
      <c r="G61" s="15">
        <v>1</v>
      </c>
      <c r="H61" s="15"/>
      <c r="I61" s="22" t="s">
        <v>212</v>
      </c>
      <c r="J61" s="15" t="s">
        <v>3</v>
      </c>
      <c r="K61" s="15">
        <v>2007</v>
      </c>
      <c r="L61" s="22" t="s">
        <v>492</v>
      </c>
    </row>
    <row r="62" spans="1:12" ht="15" customHeight="1">
      <c r="A62" s="806"/>
      <c r="B62" s="806"/>
      <c r="C62" s="808"/>
      <c r="D62" s="15">
        <v>1</v>
      </c>
      <c r="E62" s="15">
        <v>1</v>
      </c>
      <c r="F62" s="15"/>
      <c r="G62" s="15">
        <v>1</v>
      </c>
      <c r="H62" s="15"/>
      <c r="I62" s="22" t="s">
        <v>212</v>
      </c>
      <c r="J62" s="22" t="s">
        <v>212</v>
      </c>
      <c r="K62" s="22">
        <v>2002</v>
      </c>
      <c r="L62" s="22" t="s">
        <v>492</v>
      </c>
    </row>
    <row r="63" spans="1:12" ht="15" customHeight="1">
      <c r="A63" s="791"/>
      <c r="B63" s="791"/>
      <c r="C63" s="808"/>
      <c r="D63" s="15">
        <v>1</v>
      </c>
      <c r="E63" s="15"/>
      <c r="F63" s="15">
        <v>1</v>
      </c>
      <c r="G63" s="15">
        <v>1</v>
      </c>
      <c r="H63" s="15"/>
      <c r="I63" s="22" t="s">
        <v>212</v>
      </c>
      <c r="J63" s="22" t="s">
        <v>212</v>
      </c>
      <c r="K63" s="22">
        <v>2001</v>
      </c>
      <c r="L63" s="22" t="s">
        <v>492</v>
      </c>
    </row>
    <row r="64" spans="1:12" ht="15" customHeight="1">
      <c r="A64" s="791"/>
      <c r="B64" s="791"/>
      <c r="C64" s="790"/>
      <c r="D64" s="15">
        <v>1</v>
      </c>
      <c r="E64" s="15"/>
      <c r="F64" s="15">
        <v>1</v>
      </c>
      <c r="G64" s="15"/>
      <c r="H64" s="15">
        <v>1</v>
      </c>
      <c r="I64" s="22" t="s">
        <v>343</v>
      </c>
      <c r="J64" s="22" t="s">
        <v>343</v>
      </c>
      <c r="K64" s="15">
        <v>1998</v>
      </c>
      <c r="L64" s="22" t="s">
        <v>492</v>
      </c>
    </row>
    <row r="65" spans="1:12" ht="15" customHeight="1">
      <c r="A65" s="791"/>
      <c r="B65" s="791"/>
      <c r="C65" s="790"/>
      <c r="D65" s="15">
        <v>1</v>
      </c>
      <c r="E65" s="22"/>
      <c r="F65" s="22">
        <v>1</v>
      </c>
      <c r="G65" s="22"/>
      <c r="H65" s="22">
        <v>1</v>
      </c>
      <c r="I65" s="22" t="s">
        <v>343</v>
      </c>
      <c r="J65" s="22" t="s">
        <v>343</v>
      </c>
      <c r="K65" s="15">
        <v>2000</v>
      </c>
      <c r="L65" s="22" t="s">
        <v>492</v>
      </c>
    </row>
    <row r="66" spans="1:12" ht="15" customHeight="1">
      <c r="A66" s="791"/>
      <c r="B66" s="791"/>
      <c r="C66" s="790"/>
      <c r="D66" s="15">
        <v>1</v>
      </c>
      <c r="E66" s="399">
        <v>1</v>
      </c>
      <c r="F66" s="224"/>
      <c r="G66" s="22"/>
      <c r="H66" s="22">
        <v>1</v>
      </c>
      <c r="I66" s="22" t="s">
        <v>212</v>
      </c>
      <c r="J66" s="22" t="s">
        <v>343</v>
      </c>
      <c r="K66" s="22">
        <v>2005</v>
      </c>
      <c r="L66" s="22" t="s">
        <v>492</v>
      </c>
    </row>
    <row r="67" spans="1:12" ht="15" customHeight="1">
      <c r="A67" s="811"/>
      <c r="B67" s="869"/>
      <c r="C67" s="790"/>
      <c r="D67" s="15">
        <v>1</v>
      </c>
      <c r="E67" s="15">
        <v>1</v>
      </c>
      <c r="F67" s="15"/>
      <c r="G67" s="15"/>
      <c r="H67" s="15">
        <v>1</v>
      </c>
      <c r="I67" s="22" t="s">
        <v>212</v>
      </c>
      <c r="J67" s="22" t="s">
        <v>31</v>
      </c>
      <c r="K67" s="22">
        <v>1998</v>
      </c>
      <c r="L67" s="22" t="s">
        <v>492</v>
      </c>
    </row>
    <row r="68" spans="1:12" ht="15" customHeight="1">
      <c r="A68" s="806"/>
      <c r="B68" s="807"/>
      <c r="C68" s="790"/>
      <c r="D68" s="15">
        <v>1</v>
      </c>
      <c r="E68" s="247"/>
      <c r="F68" s="22">
        <v>1</v>
      </c>
      <c r="G68" s="22"/>
      <c r="H68" s="22">
        <v>1</v>
      </c>
      <c r="I68" s="22" t="s">
        <v>212</v>
      </c>
      <c r="J68" s="22" t="s">
        <v>31</v>
      </c>
      <c r="K68" s="22">
        <v>2001</v>
      </c>
      <c r="L68" s="22" t="s">
        <v>492</v>
      </c>
    </row>
    <row r="69" spans="1:12" ht="15" customHeight="1">
      <c r="A69" s="806"/>
      <c r="B69" s="807"/>
      <c r="C69" s="790"/>
      <c r="D69" s="15">
        <v>1</v>
      </c>
      <c r="E69" s="22"/>
      <c r="F69" s="22">
        <v>1</v>
      </c>
      <c r="G69" s="22">
        <v>1</v>
      </c>
      <c r="H69" s="22"/>
      <c r="I69" s="22" t="s">
        <v>212</v>
      </c>
      <c r="J69" s="430" t="s">
        <v>82</v>
      </c>
      <c r="K69" s="15">
        <v>1997</v>
      </c>
      <c r="L69" s="22" t="s">
        <v>492</v>
      </c>
    </row>
    <row r="70" spans="1:12" ht="15" customHeight="1">
      <c r="A70" s="791"/>
      <c r="B70" s="816"/>
      <c r="C70" s="790"/>
      <c r="D70" s="15">
        <v>1</v>
      </c>
      <c r="E70" s="22">
        <v>1</v>
      </c>
      <c r="F70" s="22"/>
      <c r="G70" s="22">
        <v>1</v>
      </c>
      <c r="H70" s="285"/>
      <c r="I70" s="22" t="s">
        <v>212</v>
      </c>
      <c r="J70" s="15" t="s">
        <v>82</v>
      </c>
      <c r="K70" s="22">
        <v>1994</v>
      </c>
      <c r="L70" s="22" t="s">
        <v>492</v>
      </c>
    </row>
    <row r="71" spans="1:12" ht="15" customHeight="1">
      <c r="A71" s="811"/>
      <c r="B71" s="869"/>
      <c r="C71" s="790"/>
      <c r="D71" s="15">
        <v>1</v>
      </c>
      <c r="E71" s="15"/>
      <c r="F71" s="15">
        <v>1</v>
      </c>
      <c r="G71" s="15">
        <v>1</v>
      </c>
      <c r="H71" s="15"/>
      <c r="I71" s="22" t="s">
        <v>212</v>
      </c>
      <c r="J71" s="15" t="s">
        <v>212</v>
      </c>
      <c r="K71" s="22">
        <v>1997</v>
      </c>
      <c r="L71" s="22" t="s">
        <v>492</v>
      </c>
    </row>
    <row r="72" spans="1:12" ht="15" customHeight="1">
      <c r="A72" s="806"/>
      <c r="B72" s="791"/>
      <c r="C72" s="790"/>
      <c r="D72" s="15">
        <v>1</v>
      </c>
      <c r="E72" s="247">
        <v>1</v>
      </c>
      <c r="F72" s="22"/>
      <c r="G72" s="22">
        <v>1</v>
      </c>
      <c r="H72" s="22"/>
      <c r="I72" s="22" t="s">
        <v>212</v>
      </c>
      <c r="J72" s="15" t="s">
        <v>212</v>
      </c>
      <c r="K72" s="22">
        <v>1996</v>
      </c>
      <c r="L72" s="22" t="s">
        <v>492</v>
      </c>
    </row>
    <row r="73" spans="1:12" ht="15" customHeight="1">
      <c r="A73" s="806"/>
      <c r="B73" s="867"/>
      <c r="C73" s="790"/>
      <c r="D73" s="15">
        <v>1</v>
      </c>
      <c r="E73" s="247">
        <v>1</v>
      </c>
      <c r="F73" s="22"/>
      <c r="G73" s="22">
        <v>1</v>
      </c>
      <c r="H73" s="22"/>
      <c r="I73" s="22" t="s">
        <v>212</v>
      </c>
      <c r="J73" s="15" t="s">
        <v>212</v>
      </c>
      <c r="K73" s="22">
        <v>2001</v>
      </c>
      <c r="L73" s="22" t="s">
        <v>492</v>
      </c>
    </row>
    <row r="74" spans="1:12" ht="15" customHeight="1">
      <c r="A74" s="806"/>
      <c r="B74" s="807"/>
      <c r="C74" s="790"/>
      <c r="D74" s="15">
        <v>1</v>
      </c>
      <c r="E74" s="15"/>
      <c r="F74" s="15">
        <v>1</v>
      </c>
      <c r="G74" s="15">
        <v>1</v>
      </c>
      <c r="H74" s="15"/>
      <c r="I74" s="22" t="s">
        <v>212</v>
      </c>
      <c r="J74" s="15" t="s">
        <v>212</v>
      </c>
      <c r="K74" s="22">
        <v>1999</v>
      </c>
      <c r="L74" s="22" t="s">
        <v>492</v>
      </c>
    </row>
    <row r="75" spans="1:12" ht="15" customHeight="1">
      <c r="A75" s="806"/>
      <c r="B75" s="807"/>
      <c r="C75" s="792"/>
      <c r="D75" s="1">
        <v>1</v>
      </c>
      <c r="E75" s="22"/>
      <c r="F75" s="22">
        <v>1</v>
      </c>
      <c r="G75" s="22">
        <v>1</v>
      </c>
      <c r="H75" s="22"/>
      <c r="I75" s="22" t="s">
        <v>212</v>
      </c>
      <c r="J75" s="22" t="s">
        <v>212</v>
      </c>
      <c r="K75" s="22">
        <v>1996</v>
      </c>
      <c r="L75" s="22" t="s">
        <v>492</v>
      </c>
    </row>
    <row r="76" spans="1:12" ht="15" customHeight="1">
      <c r="A76" s="806"/>
      <c r="B76" s="807"/>
      <c r="C76" s="790"/>
      <c r="D76" s="15">
        <v>1</v>
      </c>
      <c r="E76" s="22">
        <v>1</v>
      </c>
      <c r="F76" s="22"/>
      <c r="G76" s="22"/>
      <c r="H76" s="22">
        <v>1</v>
      </c>
      <c r="I76" s="22" t="s">
        <v>212</v>
      </c>
      <c r="J76" s="22" t="s">
        <v>495</v>
      </c>
      <c r="K76" s="15">
        <v>2008</v>
      </c>
      <c r="L76" s="22" t="s">
        <v>492</v>
      </c>
    </row>
    <row r="77" spans="1:12" ht="15" customHeight="1">
      <c r="A77" s="791"/>
      <c r="B77" s="791"/>
      <c r="C77" s="790"/>
      <c r="D77" s="15">
        <v>1</v>
      </c>
      <c r="E77" s="15">
        <v>1</v>
      </c>
      <c r="F77" s="15"/>
      <c r="G77" s="15"/>
      <c r="H77" s="15">
        <v>1</v>
      </c>
      <c r="I77" s="22" t="s">
        <v>212</v>
      </c>
      <c r="J77" s="15" t="s">
        <v>4</v>
      </c>
      <c r="K77" s="15">
        <v>2005</v>
      </c>
      <c r="L77" s="22" t="s">
        <v>492</v>
      </c>
    </row>
    <row r="78" spans="1:12" ht="15" customHeight="1">
      <c r="A78" s="791"/>
      <c r="B78" s="791"/>
      <c r="C78" s="790"/>
      <c r="D78" s="15">
        <v>1</v>
      </c>
      <c r="E78" s="15"/>
      <c r="F78" s="15">
        <v>1</v>
      </c>
      <c r="G78" s="15">
        <v>1</v>
      </c>
      <c r="H78" s="15"/>
      <c r="I78" s="22" t="s">
        <v>212</v>
      </c>
      <c r="J78" s="15" t="s">
        <v>212</v>
      </c>
      <c r="K78" s="15">
        <v>1998</v>
      </c>
      <c r="L78" s="22" t="s">
        <v>492</v>
      </c>
    </row>
    <row r="79" spans="1:12" ht="15" customHeight="1">
      <c r="A79" s="816"/>
      <c r="B79" s="791"/>
      <c r="C79" s="790"/>
      <c r="D79" s="15">
        <v>1</v>
      </c>
      <c r="E79" s="247"/>
      <c r="F79" s="22">
        <v>1</v>
      </c>
      <c r="G79" s="22"/>
      <c r="H79" s="22">
        <v>1</v>
      </c>
      <c r="I79" s="22" t="s">
        <v>130</v>
      </c>
      <c r="J79" s="15" t="s">
        <v>342</v>
      </c>
      <c r="K79" s="22">
        <v>2001</v>
      </c>
      <c r="L79" s="22" t="s">
        <v>492</v>
      </c>
    </row>
    <row r="80" spans="1:12" ht="15" customHeight="1">
      <c r="A80" s="791"/>
      <c r="B80" s="791"/>
      <c r="C80" s="790"/>
      <c r="D80" s="15">
        <v>1</v>
      </c>
      <c r="E80" s="15">
        <v>1</v>
      </c>
      <c r="F80" s="15"/>
      <c r="G80" s="15">
        <v>1</v>
      </c>
      <c r="H80" s="15"/>
      <c r="I80" s="22" t="s">
        <v>212</v>
      </c>
      <c r="J80" s="15" t="s">
        <v>212</v>
      </c>
      <c r="K80" s="15">
        <v>2008</v>
      </c>
      <c r="L80" s="22" t="s">
        <v>492</v>
      </c>
    </row>
    <row r="81" spans="1:12" ht="15" customHeight="1">
      <c r="A81" s="791"/>
      <c r="B81" s="791"/>
      <c r="C81" s="790"/>
      <c r="D81" s="15">
        <v>1</v>
      </c>
      <c r="E81" s="15"/>
      <c r="F81" s="15">
        <v>1</v>
      </c>
      <c r="G81" s="15">
        <v>1</v>
      </c>
      <c r="H81" s="15"/>
      <c r="I81" s="22" t="s">
        <v>212</v>
      </c>
      <c r="J81" s="15" t="s">
        <v>212</v>
      </c>
      <c r="K81" s="15">
        <v>1998</v>
      </c>
      <c r="L81" s="22" t="s">
        <v>492</v>
      </c>
    </row>
    <row r="82" spans="1:12" ht="15" customHeight="1">
      <c r="A82" s="791"/>
      <c r="B82" s="791"/>
      <c r="C82" s="790"/>
      <c r="D82" s="15">
        <v>1</v>
      </c>
      <c r="E82" s="15">
        <v>1</v>
      </c>
      <c r="F82" s="15"/>
      <c r="G82" s="15">
        <v>1</v>
      </c>
      <c r="H82" s="15"/>
      <c r="I82" s="22" t="s">
        <v>212</v>
      </c>
      <c r="J82" s="15" t="s">
        <v>212</v>
      </c>
      <c r="K82" s="15">
        <v>1995</v>
      </c>
      <c r="L82" s="22" t="s">
        <v>492</v>
      </c>
    </row>
    <row r="83" spans="1:12" ht="15" customHeight="1">
      <c r="A83" s="791"/>
      <c r="B83" s="791"/>
      <c r="C83" s="790"/>
      <c r="D83" s="15">
        <v>1</v>
      </c>
      <c r="E83" s="15"/>
      <c r="F83" s="15">
        <v>1</v>
      </c>
      <c r="G83" s="15"/>
      <c r="H83" s="15">
        <v>1</v>
      </c>
      <c r="I83" s="15" t="s">
        <v>212</v>
      </c>
      <c r="J83" s="15" t="s">
        <v>77</v>
      </c>
      <c r="K83" s="15">
        <v>2009</v>
      </c>
      <c r="L83" s="22" t="s">
        <v>492</v>
      </c>
    </row>
    <row r="84" spans="1:12" ht="15" customHeight="1">
      <c r="A84" s="791"/>
      <c r="B84" s="791"/>
      <c r="C84" s="790"/>
      <c r="D84" s="15">
        <v>1</v>
      </c>
      <c r="E84" s="15"/>
      <c r="F84" s="15">
        <v>1</v>
      </c>
      <c r="G84" s="15">
        <v>1</v>
      </c>
      <c r="H84" s="15"/>
      <c r="I84" s="22" t="s">
        <v>212</v>
      </c>
      <c r="J84" s="15" t="s">
        <v>212</v>
      </c>
      <c r="K84" s="15">
        <v>1994</v>
      </c>
      <c r="L84" s="22" t="s">
        <v>492</v>
      </c>
    </row>
    <row r="85" spans="1:12" ht="15" customHeight="1">
      <c r="A85" s="806"/>
      <c r="B85" s="807"/>
      <c r="C85" s="790"/>
      <c r="D85" s="15">
        <v>1</v>
      </c>
      <c r="E85" s="15"/>
      <c r="F85" s="15">
        <v>1</v>
      </c>
      <c r="G85" s="15"/>
      <c r="H85" s="15">
        <v>1</v>
      </c>
      <c r="I85" s="22" t="s">
        <v>343</v>
      </c>
      <c r="J85" s="15" t="s">
        <v>343</v>
      </c>
      <c r="K85" s="22">
        <v>2001</v>
      </c>
      <c r="L85" s="22" t="s">
        <v>492</v>
      </c>
    </row>
    <row r="86" spans="1:12" ht="15" customHeight="1">
      <c r="A86" s="806"/>
      <c r="B86" s="807"/>
      <c r="C86" s="790"/>
      <c r="D86" s="15">
        <v>1</v>
      </c>
      <c r="E86" s="15"/>
      <c r="F86" s="15">
        <v>1</v>
      </c>
      <c r="G86" s="15"/>
      <c r="H86" s="15">
        <v>1</v>
      </c>
      <c r="I86" s="22" t="s">
        <v>343</v>
      </c>
      <c r="J86" s="15" t="s">
        <v>343</v>
      </c>
      <c r="K86" s="22">
        <v>1995</v>
      </c>
      <c r="L86" s="22" t="s">
        <v>492</v>
      </c>
    </row>
    <row r="87" spans="1:12" ht="15" customHeight="1">
      <c r="A87" s="806"/>
      <c r="B87" s="807"/>
      <c r="C87" s="790"/>
      <c r="D87" s="15">
        <v>1</v>
      </c>
      <c r="E87" s="15">
        <v>1</v>
      </c>
      <c r="F87" s="15"/>
      <c r="G87" s="15"/>
      <c r="H87" s="15">
        <v>1</v>
      </c>
      <c r="I87" s="22" t="s">
        <v>343</v>
      </c>
      <c r="J87" s="15" t="s">
        <v>343</v>
      </c>
      <c r="K87" s="22">
        <v>1997</v>
      </c>
      <c r="L87" s="22" t="s">
        <v>492</v>
      </c>
    </row>
    <row r="88" spans="1:12" ht="15" customHeight="1">
      <c r="A88" s="806"/>
      <c r="B88" s="807"/>
      <c r="C88" s="790"/>
      <c r="D88" s="15">
        <v>1</v>
      </c>
      <c r="E88" s="15">
        <v>1</v>
      </c>
      <c r="F88" s="15"/>
      <c r="G88" s="15"/>
      <c r="H88" s="15">
        <v>1</v>
      </c>
      <c r="I88" s="22" t="s">
        <v>343</v>
      </c>
      <c r="J88" s="15" t="s">
        <v>343</v>
      </c>
      <c r="K88" s="22">
        <v>1998</v>
      </c>
      <c r="L88" s="22" t="s">
        <v>492</v>
      </c>
    </row>
    <row r="89" spans="1:12" ht="15" customHeight="1">
      <c r="A89" s="806"/>
      <c r="B89" s="807"/>
      <c r="C89" s="792"/>
      <c r="D89" s="15">
        <v>1</v>
      </c>
      <c r="E89" s="286"/>
      <c r="F89" s="22">
        <v>1</v>
      </c>
      <c r="G89" s="22">
        <v>1</v>
      </c>
      <c r="H89" s="285"/>
      <c r="I89" s="15" t="s">
        <v>212</v>
      </c>
      <c r="J89" s="15" t="s">
        <v>212</v>
      </c>
      <c r="K89" s="22">
        <v>1998</v>
      </c>
      <c r="L89" s="22" t="s">
        <v>492</v>
      </c>
    </row>
    <row r="90" spans="1:12" s="136" customFormat="1" ht="15" customHeight="1">
      <c r="A90" s="1154" t="s">
        <v>302</v>
      </c>
      <c r="B90" s="1155"/>
      <c r="C90" s="107"/>
      <c r="D90" s="107">
        <f>SUM(D54:D89)</f>
        <v>36</v>
      </c>
      <c r="E90" s="107">
        <f>SUM(E54:E89)</f>
        <v>18</v>
      </c>
      <c r="F90" s="107">
        <f>SUM(F54:F89)</f>
        <v>18</v>
      </c>
      <c r="G90" s="107">
        <f>SUM(G54:G89)</f>
        <v>22</v>
      </c>
      <c r="H90" s="107">
        <f>SUM(H54:H89)</f>
        <v>14</v>
      </c>
      <c r="I90" s="107"/>
      <c r="J90" s="107"/>
      <c r="K90" s="107"/>
      <c r="L90" s="107"/>
    </row>
    <row r="91" spans="1:12" s="52" customFormat="1" ht="15" customHeight="1">
      <c r="A91" s="791"/>
      <c r="B91" s="791"/>
      <c r="C91" s="790"/>
      <c r="D91" s="14">
        <v>1</v>
      </c>
      <c r="E91" s="22"/>
      <c r="F91" s="22">
        <v>1</v>
      </c>
      <c r="G91" s="22">
        <v>1</v>
      </c>
      <c r="H91" s="77"/>
      <c r="I91" s="22" t="s">
        <v>212</v>
      </c>
      <c r="J91" s="22" t="s">
        <v>212</v>
      </c>
      <c r="K91" s="22">
        <v>2001</v>
      </c>
      <c r="L91" s="22" t="s">
        <v>494</v>
      </c>
    </row>
    <row r="92" spans="1:12" s="52" customFormat="1" ht="15" customHeight="1">
      <c r="A92" s="791"/>
      <c r="B92" s="791"/>
      <c r="C92" s="790"/>
      <c r="D92" s="14">
        <v>1</v>
      </c>
      <c r="E92" s="22">
        <v>1</v>
      </c>
      <c r="F92" s="22"/>
      <c r="G92" s="22">
        <v>1</v>
      </c>
      <c r="H92" s="77"/>
      <c r="I92" s="22" t="s">
        <v>212</v>
      </c>
      <c r="J92" s="22" t="s">
        <v>212</v>
      </c>
      <c r="K92" s="22">
        <v>2005</v>
      </c>
      <c r="L92" s="22" t="s">
        <v>494</v>
      </c>
    </row>
    <row r="93" spans="1:12" s="52" customFormat="1" ht="15" customHeight="1">
      <c r="A93" s="806"/>
      <c r="B93" s="806"/>
      <c r="C93" s="808"/>
      <c r="D93" s="14">
        <v>1</v>
      </c>
      <c r="E93" s="22">
        <v>1</v>
      </c>
      <c r="F93" s="22"/>
      <c r="G93" s="22">
        <v>1</v>
      </c>
      <c r="H93" s="250"/>
      <c r="I93" s="22" t="s">
        <v>212</v>
      </c>
      <c r="J93" s="22" t="s">
        <v>212</v>
      </c>
      <c r="K93" s="22">
        <v>2007</v>
      </c>
      <c r="L93" s="22" t="s">
        <v>494</v>
      </c>
    </row>
    <row r="94" spans="1:12" s="52" customFormat="1" ht="15" customHeight="1">
      <c r="A94" s="806"/>
      <c r="B94" s="806"/>
      <c r="C94" s="808"/>
      <c r="D94" s="15">
        <v>1</v>
      </c>
      <c r="E94" s="15"/>
      <c r="F94" s="15">
        <v>1</v>
      </c>
      <c r="G94" s="15">
        <v>1</v>
      </c>
      <c r="H94" s="218"/>
      <c r="I94" s="22" t="s">
        <v>212</v>
      </c>
      <c r="J94" s="15" t="s">
        <v>212</v>
      </c>
      <c r="K94" s="15">
        <v>2002</v>
      </c>
      <c r="L94" s="22" t="s">
        <v>494</v>
      </c>
    </row>
    <row r="95" spans="1:12" s="52" customFormat="1" ht="15" customHeight="1">
      <c r="A95" s="806"/>
      <c r="B95" s="806"/>
      <c r="C95" s="808"/>
      <c r="D95" s="15">
        <v>1</v>
      </c>
      <c r="E95" s="15"/>
      <c r="F95" s="15">
        <v>1</v>
      </c>
      <c r="G95" s="15">
        <v>1</v>
      </c>
      <c r="H95" s="218"/>
      <c r="I95" s="22" t="s">
        <v>212</v>
      </c>
      <c r="J95" s="15" t="s">
        <v>212</v>
      </c>
      <c r="K95" s="15">
        <v>1998</v>
      </c>
      <c r="L95" s="22" t="s">
        <v>494</v>
      </c>
    </row>
    <row r="96" spans="1:12" s="52" customFormat="1" ht="15" customHeight="1">
      <c r="A96" s="806"/>
      <c r="B96" s="806"/>
      <c r="C96" s="808"/>
      <c r="D96" s="14">
        <v>1</v>
      </c>
      <c r="E96" s="247"/>
      <c r="F96" s="22">
        <v>1</v>
      </c>
      <c r="G96" s="22">
        <v>1</v>
      </c>
      <c r="H96" s="252"/>
      <c r="I96" s="22" t="s">
        <v>212</v>
      </c>
      <c r="J96" s="22" t="s">
        <v>212</v>
      </c>
      <c r="K96" s="15">
        <v>2000</v>
      </c>
      <c r="L96" s="22" t="s">
        <v>494</v>
      </c>
    </row>
    <row r="97" spans="1:12" s="52" customFormat="1" ht="15" customHeight="1">
      <c r="A97" s="806"/>
      <c r="B97" s="806"/>
      <c r="C97" s="808"/>
      <c r="D97" s="15">
        <v>1</v>
      </c>
      <c r="E97" s="247">
        <v>1</v>
      </c>
      <c r="F97" s="22"/>
      <c r="G97" s="15">
        <v>1</v>
      </c>
      <c r="H97" s="15"/>
      <c r="I97" s="22" t="s">
        <v>212</v>
      </c>
      <c r="J97" s="22" t="s">
        <v>212</v>
      </c>
      <c r="K97" s="15">
        <v>2001</v>
      </c>
      <c r="L97" s="22" t="s">
        <v>494</v>
      </c>
    </row>
    <row r="98" spans="1:12" ht="15" customHeight="1">
      <c r="A98" s="791"/>
      <c r="B98" s="791"/>
      <c r="C98" s="790"/>
      <c r="D98" s="15">
        <v>1</v>
      </c>
      <c r="E98" s="15">
        <v>1</v>
      </c>
      <c r="F98" s="15"/>
      <c r="G98" s="15">
        <v>1</v>
      </c>
      <c r="H98" s="15"/>
      <c r="I98" s="22" t="s">
        <v>212</v>
      </c>
      <c r="J98" s="22" t="s">
        <v>212</v>
      </c>
      <c r="K98" s="15">
        <v>2001</v>
      </c>
      <c r="L98" s="22" t="s">
        <v>494</v>
      </c>
    </row>
    <row r="99" spans="1:12" ht="15" customHeight="1">
      <c r="A99" s="791"/>
      <c r="B99" s="791"/>
      <c r="C99" s="790"/>
      <c r="D99" s="15">
        <v>1</v>
      </c>
      <c r="E99" s="15">
        <v>1</v>
      </c>
      <c r="F99" s="15"/>
      <c r="G99" s="15">
        <v>1</v>
      </c>
      <c r="H99" s="15"/>
      <c r="I99" s="22" t="s">
        <v>212</v>
      </c>
      <c r="J99" s="22" t="s">
        <v>212</v>
      </c>
      <c r="K99" s="15">
        <v>1999</v>
      </c>
      <c r="L99" s="22" t="s">
        <v>494</v>
      </c>
    </row>
    <row r="100" spans="1:12" ht="15" customHeight="1">
      <c r="A100" s="791"/>
      <c r="B100" s="791"/>
      <c r="C100" s="790"/>
      <c r="D100" s="15">
        <v>1</v>
      </c>
      <c r="E100" s="15"/>
      <c r="F100" s="15">
        <v>1</v>
      </c>
      <c r="G100" s="15">
        <v>1</v>
      </c>
      <c r="H100" s="15"/>
      <c r="I100" s="22" t="s">
        <v>212</v>
      </c>
      <c r="J100" s="22" t="s">
        <v>212</v>
      </c>
      <c r="K100" s="15">
        <v>2000</v>
      </c>
      <c r="L100" s="22" t="s">
        <v>494</v>
      </c>
    </row>
    <row r="101" spans="1:12" ht="15" customHeight="1">
      <c r="A101" s="791"/>
      <c r="B101" s="791"/>
      <c r="C101" s="790"/>
      <c r="D101" s="15">
        <v>1</v>
      </c>
      <c r="E101" s="15">
        <v>1</v>
      </c>
      <c r="F101" s="15"/>
      <c r="G101" s="15">
        <v>1</v>
      </c>
      <c r="H101" s="15"/>
      <c r="I101" s="22" t="s">
        <v>212</v>
      </c>
      <c r="J101" s="22" t="s">
        <v>212</v>
      </c>
      <c r="K101" s="15">
        <v>1996</v>
      </c>
      <c r="L101" s="22" t="s">
        <v>494</v>
      </c>
    </row>
    <row r="102" spans="1:12" ht="15" customHeight="1">
      <c r="A102" s="791"/>
      <c r="B102" s="791"/>
      <c r="C102" s="790"/>
      <c r="D102" s="15">
        <v>1</v>
      </c>
      <c r="E102" s="15">
        <v>1</v>
      </c>
      <c r="F102" s="15"/>
      <c r="G102" s="15">
        <v>1</v>
      </c>
      <c r="H102" s="15"/>
      <c r="I102" s="22" t="s">
        <v>212</v>
      </c>
      <c r="J102" s="22" t="s">
        <v>212</v>
      </c>
      <c r="K102" s="15">
        <v>1999</v>
      </c>
      <c r="L102" s="22" t="s">
        <v>494</v>
      </c>
    </row>
    <row r="103" spans="1:12" ht="15" customHeight="1">
      <c r="A103" s="791"/>
      <c r="B103" s="791"/>
      <c r="C103" s="790"/>
      <c r="D103" s="15">
        <v>1</v>
      </c>
      <c r="E103" s="15">
        <v>1</v>
      </c>
      <c r="F103" s="15"/>
      <c r="G103" s="15"/>
      <c r="H103" s="15">
        <v>1</v>
      </c>
      <c r="I103" s="15" t="s">
        <v>212</v>
      </c>
      <c r="J103" s="15" t="s">
        <v>18</v>
      </c>
      <c r="K103" s="15">
        <v>2001</v>
      </c>
      <c r="L103" s="22" t="s">
        <v>494</v>
      </c>
    </row>
    <row r="104" spans="1:12" ht="15" customHeight="1">
      <c r="A104" s="791"/>
      <c r="B104" s="791"/>
      <c r="C104" s="790"/>
      <c r="D104" s="15">
        <v>1</v>
      </c>
      <c r="E104" s="15"/>
      <c r="F104" s="15">
        <v>1</v>
      </c>
      <c r="G104" s="15">
        <v>1</v>
      </c>
      <c r="H104" s="15"/>
      <c r="I104" s="22" t="s">
        <v>212</v>
      </c>
      <c r="J104" s="22" t="s">
        <v>212</v>
      </c>
      <c r="K104" s="15">
        <v>2005</v>
      </c>
      <c r="L104" s="22" t="s">
        <v>494</v>
      </c>
    </row>
    <row r="105" spans="1:12" ht="15" customHeight="1">
      <c r="A105" s="791"/>
      <c r="B105" s="791"/>
      <c r="C105" s="790"/>
      <c r="D105" s="15">
        <v>1</v>
      </c>
      <c r="E105" s="15">
        <v>1</v>
      </c>
      <c r="F105" s="15"/>
      <c r="G105" s="15">
        <v>1</v>
      </c>
      <c r="H105" s="15"/>
      <c r="I105" s="22" t="s">
        <v>212</v>
      </c>
      <c r="J105" s="22" t="s">
        <v>212</v>
      </c>
      <c r="K105" s="15">
        <v>2006</v>
      </c>
      <c r="L105" s="22" t="s">
        <v>494</v>
      </c>
    </row>
    <row r="106" spans="1:12" ht="15" customHeight="1">
      <c r="A106" s="791"/>
      <c r="B106" s="791"/>
      <c r="C106" s="790"/>
      <c r="D106" s="15">
        <v>1</v>
      </c>
      <c r="E106" s="15">
        <v>1</v>
      </c>
      <c r="F106" s="15"/>
      <c r="G106" s="15">
        <v>1</v>
      </c>
      <c r="H106" s="15"/>
      <c r="I106" s="22" t="s">
        <v>212</v>
      </c>
      <c r="J106" s="22" t="s">
        <v>212</v>
      </c>
      <c r="K106" s="15">
        <v>2001</v>
      </c>
      <c r="L106" s="22" t="s">
        <v>494</v>
      </c>
    </row>
    <row r="107" spans="1:12" ht="15" customHeight="1">
      <c r="A107" s="791"/>
      <c r="B107" s="791"/>
      <c r="C107" s="790"/>
      <c r="D107" s="15">
        <v>1</v>
      </c>
      <c r="E107" s="15"/>
      <c r="F107" s="15">
        <v>1</v>
      </c>
      <c r="G107" s="15">
        <v>1</v>
      </c>
      <c r="H107" s="15"/>
      <c r="I107" s="22" t="s">
        <v>212</v>
      </c>
      <c r="J107" s="22" t="s">
        <v>212</v>
      </c>
      <c r="K107" s="15">
        <v>1999</v>
      </c>
      <c r="L107" s="22" t="s">
        <v>494</v>
      </c>
    </row>
    <row r="108" spans="1:12" ht="15" customHeight="1">
      <c r="A108" s="791"/>
      <c r="B108" s="791"/>
      <c r="C108" s="790"/>
      <c r="D108" s="15">
        <v>1</v>
      </c>
      <c r="E108" s="15"/>
      <c r="F108" s="15">
        <v>1</v>
      </c>
      <c r="G108" s="15">
        <v>1</v>
      </c>
      <c r="H108" s="15"/>
      <c r="I108" s="22" t="s">
        <v>212</v>
      </c>
      <c r="J108" s="22" t="s">
        <v>212</v>
      </c>
      <c r="K108" s="15">
        <v>1996</v>
      </c>
      <c r="L108" s="22" t="s">
        <v>494</v>
      </c>
    </row>
    <row r="109" spans="1:12" ht="15" customHeight="1">
      <c r="A109" s="791"/>
      <c r="B109" s="791"/>
      <c r="C109" s="790"/>
      <c r="D109" s="15">
        <v>1</v>
      </c>
      <c r="E109" s="15">
        <v>1</v>
      </c>
      <c r="F109" s="15"/>
      <c r="G109" s="15">
        <v>1</v>
      </c>
      <c r="H109" s="15"/>
      <c r="I109" s="22" t="s">
        <v>212</v>
      </c>
      <c r="J109" s="22" t="s">
        <v>212</v>
      </c>
      <c r="K109" s="15">
        <v>2008</v>
      </c>
      <c r="L109" s="22" t="s">
        <v>494</v>
      </c>
    </row>
    <row r="110" spans="1:12" ht="15" customHeight="1">
      <c r="A110" s="791"/>
      <c r="B110" s="791"/>
      <c r="C110" s="790"/>
      <c r="D110" s="15">
        <v>1</v>
      </c>
      <c r="E110" s="15">
        <v>1</v>
      </c>
      <c r="F110" s="15"/>
      <c r="G110" s="15">
        <v>1</v>
      </c>
      <c r="H110" s="15"/>
      <c r="I110" s="22" t="s">
        <v>212</v>
      </c>
      <c r="J110" s="22" t="s">
        <v>212</v>
      </c>
      <c r="K110" s="15">
        <v>2005</v>
      </c>
      <c r="L110" s="22" t="s">
        <v>494</v>
      </c>
    </row>
    <row r="111" spans="1:12" ht="15" customHeight="1">
      <c r="A111" s="791"/>
      <c r="B111" s="791"/>
      <c r="C111" s="790"/>
      <c r="D111" s="15">
        <v>1</v>
      </c>
      <c r="E111" s="15">
        <v>1</v>
      </c>
      <c r="F111" s="15"/>
      <c r="G111" s="15">
        <v>1</v>
      </c>
      <c r="H111" s="15"/>
      <c r="I111" s="22" t="s">
        <v>212</v>
      </c>
      <c r="J111" s="22" t="s">
        <v>212</v>
      </c>
      <c r="K111" s="15">
        <v>2005</v>
      </c>
      <c r="L111" s="22" t="s">
        <v>494</v>
      </c>
    </row>
    <row r="112" spans="1:12" ht="15" customHeight="1">
      <c r="A112" s="791"/>
      <c r="B112" s="791"/>
      <c r="C112" s="790"/>
      <c r="D112" s="15">
        <v>1</v>
      </c>
      <c r="E112" s="15"/>
      <c r="F112" s="15">
        <v>1</v>
      </c>
      <c r="G112" s="15"/>
      <c r="H112" s="15">
        <v>1</v>
      </c>
      <c r="I112" s="22" t="s">
        <v>450</v>
      </c>
      <c r="J112" s="15" t="s">
        <v>450</v>
      </c>
      <c r="K112" s="15">
        <v>2001</v>
      </c>
      <c r="L112" s="22" t="s">
        <v>494</v>
      </c>
    </row>
    <row r="113" spans="1:12" s="136" customFormat="1" ht="15" customHeight="1">
      <c r="A113" s="1073" t="s">
        <v>304</v>
      </c>
      <c r="B113" s="1156"/>
      <c r="C113" s="107"/>
      <c r="D113" s="107">
        <f>SUM(D91:D112)</f>
        <v>22</v>
      </c>
      <c r="E113" s="107">
        <f>SUM(E91:E112)</f>
        <v>13</v>
      </c>
      <c r="F113" s="107">
        <f>SUM(F91:F112)</f>
        <v>9</v>
      </c>
      <c r="G113" s="107">
        <f>SUM(G91:G112)</f>
        <v>20</v>
      </c>
      <c r="H113" s="107">
        <f>SUM(H91:H112)</f>
        <v>2</v>
      </c>
      <c r="I113" s="107"/>
      <c r="J113" s="107"/>
      <c r="K113" s="107"/>
      <c r="L113" s="107"/>
    </row>
    <row r="114" spans="1:12" s="64" customFormat="1" ht="15" customHeight="1">
      <c r="A114" s="1058" t="s">
        <v>8</v>
      </c>
      <c r="B114" s="1059"/>
      <c r="C114" s="120"/>
      <c r="D114" s="120">
        <f>D113+D90+D53</f>
        <v>66</v>
      </c>
      <c r="E114" s="120">
        <f>E113+E90+E53</f>
        <v>34</v>
      </c>
      <c r="F114" s="120">
        <f>F113+F90+F53</f>
        <v>32</v>
      </c>
      <c r="G114" s="120">
        <f>G113+G90+G53</f>
        <v>44</v>
      </c>
      <c r="H114" s="120">
        <f>H113+H90+H53</f>
        <v>22</v>
      </c>
      <c r="I114" s="120"/>
      <c r="J114" s="120"/>
      <c r="K114" s="120"/>
      <c r="L114" s="109"/>
    </row>
    <row r="115" spans="1:12" s="51" customFormat="1" ht="15" customHeight="1">
      <c r="A115" s="1083" t="s">
        <v>67</v>
      </c>
      <c r="B115" s="1084"/>
      <c r="C115" s="19"/>
      <c r="D115" s="19"/>
      <c r="E115" s="19"/>
      <c r="F115" s="19"/>
      <c r="G115" s="19"/>
      <c r="H115" s="19"/>
      <c r="I115" s="19"/>
      <c r="J115" s="19"/>
      <c r="K115" s="19"/>
      <c r="L115" s="39"/>
    </row>
    <row r="116" spans="1:12" s="50" customFormat="1" ht="55.5" customHeight="1">
      <c r="A116" s="39" t="s">
        <v>332</v>
      </c>
      <c r="B116" s="39" t="s">
        <v>333</v>
      </c>
      <c r="C116" s="39" t="s">
        <v>213</v>
      </c>
      <c r="D116" s="115" t="s">
        <v>36</v>
      </c>
      <c r="E116" s="115" t="s">
        <v>73</v>
      </c>
      <c r="F116" s="115" t="s">
        <v>74</v>
      </c>
      <c r="G116" s="115" t="s">
        <v>37</v>
      </c>
      <c r="H116" s="115" t="s">
        <v>38</v>
      </c>
      <c r="I116" s="115" t="s">
        <v>15</v>
      </c>
      <c r="J116" s="115" t="s">
        <v>214</v>
      </c>
      <c r="K116" s="115" t="s">
        <v>39</v>
      </c>
      <c r="L116" s="115" t="s">
        <v>2</v>
      </c>
    </row>
    <row r="117" spans="1:12" ht="15" customHeight="1">
      <c r="A117" s="791"/>
      <c r="B117" s="791"/>
      <c r="C117" s="790"/>
      <c r="D117" s="15">
        <v>1</v>
      </c>
      <c r="E117" s="15"/>
      <c r="F117" s="15">
        <v>1</v>
      </c>
      <c r="G117" s="15">
        <v>1</v>
      </c>
      <c r="H117" s="15"/>
      <c r="I117" s="22" t="s">
        <v>212</v>
      </c>
      <c r="J117" s="22" t="s">
        <v>212</v>
      </c>
      <c r="K117" s="15">
        <v>2009</v>
      </c>
      <c r="L117" s="22" t="s">
        <v>490</v>
      </c>
    </row>
    <row r="118" spans="1:12" s="136" customFormat="1" ht="15" customHeight="1">
      <c r="A118" s="1073" t="s">
        <v>305</v>
      </c>
      <c r="B118" s="1156"/>
      <c r="C118" s="107"/>
      <c r="D118" s="107">
        <f>SUM(D117)</f>
        <v>1</v>
      </c>
      <c r="E118" s="107">
        <v>0</v>
      </c>
      <c r="F118" s="107">
        <f>SUM(F117)</f>
        <v>1</v>
      </c>
      <c r="G118" s="107">
        <f>SUM(G117)</f>
        <v>1</v>
      </c>
      <c r="H118" s="107">
        <v>0</v>
      </c>
      <c r="I118" s="107"/>
      <c r="J118" s="107"/>
      <c r="K118" s="107"/>
      <c r="L118" s="107"/>
    </row>
    <row r="119" spans="1:12" ht="15" customHeight="1">
      <c r="A119" s="790"/>
      <c r="B119" s="790"/>
      <c r="C119" s="790"/>
      <c r="D119" s="15">
        <v>1</v>
      </c>
      <c r="E119" s="15">
        <v>1</v>
      </c>
      <c r="F119" s="15"/>
      <c r="G119" s="15"/>
      <c r="H119" s="15">
        <v>1</v>
      </c>
      <c r="I119" s="15" t="s">
        <v>18</v>
      </c>
      <c r="J119" s="15" t="s">
        <v>18</v>
      </c>
      <c r="K119" s="15">
        <v>1997</v>
      </c>
      <c r="L119" s="22" t="s">
        <v>492</v>
      </c>
    </row>
    <row r="120" spans="1:12" ht="15" customHeight="1">
      <c r="A120" s="791"/>
      <c r="B120" s="791"/>
      <c r="C120" s="790"/>
      <c r="D120" s="15">
        <v>1</v>
      </c>
      <c r="E120" s="15"/>
      <c r="F120" s="15">
        <v>1</v>
      </c>
      <c r="G120" s="15"/>
      <c r="H120" s="15">
        <v>1</v>
      </c>
      <c r="I120" s="15" t="s">
        <v>212</v>
      </c>
      <c r="J120" s="15" t="s">
        <v>18</v>
      </c>
      <c r="K120" s="15">
        <v>2002</v>
      </c>
      <c r="L120" s="22" t="s">
        <v>492</v>
      </c>
    </row>
    <row r="121" spans="1:12" ht="15" customHeight="1">
      <c r="A121" s="791"/>
      <c r="B121" s="791"/>
      <c r="C121" s="790"/>
      <c r="D121" s="15">
        <v>1</v>
      </c>
      <c r="E121" s="15"/>
      <c r="F121" s="15">
        <v>1</v>
      </c>
      <c r="G121" s="15"/>
      <c r="H121" s="15">
        <v>1</v>
      </c>
      <c r="I121" s="15" t="s">
        <v>212</v>
      </c>
      <c r="J121" s="15" t="s">
        <v>18</v>
      </c>
      <c r="K121" s="15">
        <v>2000</v>
      </c>
      <c r="L121" s="22" t="s">
        <v>492</v>
      </c>
    </row>
    <row r="122" spans="1:12" ht="15" customHeight="1">
      <c r="A122" s="803"/>
      <c r="B122" s="803"/>
      <c r="C122" s="808"/>
      <c r="D122" s="15">
        <v>1</v>
      </c>
      <c r="E122" s="1">
        <v>1</v>
      </c>
      <c r="F122" s="1"/>
      <c r="G122" s="1"/>
      <c r="H122" s="1">
        <v>1</v>
      </c>
      <c r="I122" s="22" t="s">
        <v>326</v>
      </c>
      <c r="J122" s="15" t="s">
        <v>326</v>
      </c>
      <c r="K122" s="22">
        <v>1995</v>
      </c>
      <c r="L122" s="22" t="s">
        <v>492</v>
      </c>
    </row>
    <row r="123" spans="1:12" ht="15" customHeight="1">
      <c r="A123" s="811"/>
      <c r="B123" s="870"/>
      <c r="C123" s="813"/>
      <c r="D123" s="15">
        <v>1</v>
      </c>
      <c r="E123" s="1"/>
      <c r="F123" s="1">
        <v>1</v>
      </c>
      <c r="G123" s="1"/>
      <c r="H123" s="1">
        <v>1</v>
      </c>
      <c r="I123" s="33" t="s">
        <v>212</v>
      </c>
      <c r="J123" s="32" t="s">
        <v>18</v>
      </c>
      <c r="K123" s="1">
        <v>2010</v>
      </c>
      <c r="L123" s="22" t="s">
        <v>492</v>
      </c>
    </row>
    <row r="124" spans="1:12" ht="15" customHeight="1">
      <c r="A124" s="791"/>
      <c r="B124" s="791"/>
      <c r="C124" s="790"/>
      <c r="D124" s="15">
        <v>1</v>
      </c>
      <c r="E124" s="15"/>
      <c r="F124" s="15">
        <v>1</v>
      </c>
      <c r="G124" s="15">
        <v>1</v>
      </c>
      <c r="H124" s="15"/>
      <c r="I124" s="22" t="s">
        <v>212</v>
      </c>
      <c r="J124" s="22" t="s">
        <v>212</v>
      </c>
      <c r="K124" s="15">
        <v>2003</v>
      </c>
      <c r="L124" s="22" t="s">
        <v>492</v>
      </c>
    </row>
    <row r="125" spans="1:12" s="136" customFormat="1" ht="15" customHeight="1">
      <c r="A125" s="1157" t="s">
        <v>306</v>
      </c>
      <c r="B125" s="1158"/>
      <c r="C125" s="107"/>
      <c r="D125" s="107">
        <f>SUM(D119:D124)</f>
        <v>6</v>
      </c>
      <c r="E125" s="107">
        <f>SUM(E119:E124)</f>
        <v>2</v>
      </c>
      <c r="F125" s="107">
        <f>SUM(F119:F124)</f>
        <v>4</v>
      </c>
      <c r="G125" s="107">
        <f>SUM(G119:G124)</f>
        <v>1</v>
      </c>
      <c r="H125" s="107">
        <f>SUM(H119:H124)</f>
        <v>5</v>
      </c>
      <c r="I125" s="107"/>
      <c r="J125" s="107"/>
      <c r="K125" s="107"/>
      <c r="L125" s="107"/>
    </row>
    <row r="126" spans="1:12" s="137" customFormat="1" ht="15" customHeight="1">
      <c r="A126" s="806"/>
      <c r="B126" s="807"/>
      <c r="C126" s="790"/>
      <c r="D126" s="14">
        <v>1</v>
      </c>
      <c r="E126" s="22">
        <v>1</v>
      </c>
      <c r="F126" s="22"/>
      <c r="G126" s="22">
        <v>1</v>
      </c>
      <c r="H126" s="77"/>
      <c r="I126" s="22" t="s">
        <v>212</v>
      </c>
      <c r="J126" s="22" t="s">
        <v>212</v>
      </c>
      <c r="K126" s="22">
        <v>2009</v>
      </c>
      <c r="L126" s="22" t="s">
        <v>494</v>
      </c>
    </row>
    <row r="127" spans="1:12" s="137" customFormat="1" ht="15" customHeight="1">
      <c r="A127" s="806"/>
      <c r="B127" s="807"/>
      <c r="C127" s="792"/>
      <c r="D127" s="14">
        <v>1</v>
      </c>
      <c r="E127" s="22">
        <v>1</v>
      </c>
      <c r="F127" s="22"/>
      <c r="G127" s="22">
        <v>1</v>
      </c>
      <c r="H127" s="77"/>
      <c r="I127" s="22" t="s">
        <v>212</v>
      </c>
      <c r="J127" s="22" t="s">
        <v>212</v>
      </c>
      <c r="K127" s="22">
        <v>2006</v>
      </c>
      <c r="L127" s="22" t="s">
        <v>494</v>
      </c>
    </row>
    <row r="128" spans="1:12" s="137" customFormat="1" ht="15" customHeight="1">
      <c r="A128" s="791"/>
      <c r="B128" s="791"/>
      <c r="C128" s="792"/>
      <c r="D128" s="14">
        <v>1</v>
      </c>
      <c r="E128" s="347"/>
      <c r="F128" s="22">
        <v>1</v>
      </c>
      <c r="G128" s="347">
        <v>1</v>
      </c>
      <c r="H128" s="347"/>
      <c r="I128" s="22" t="s">
        <v>212</v>
      </c>
      <c r="J128" s="22" t="s">
        <v>212</v>
      </c>
      <c r="K128" s="22">
        <v>2007</v>
      </c>
      <c r="L128" s="22" t="s">
        <v>494</v>
      </c>
    </row>
    <row r="129" spans="1:12" ht="15" customHeight="1">
      <c r="A129" s="791"/>
      <c r="B129" s="791"/>
      <c r="C129" s="790"/>
      <c r="D129" s="15">
        <v>1</v>
      </c>
      <c r="E129" s="15"/>
      <c r="F129" s="15">
        <v>1</v>
      </c>
      <c r="G129" s="15">
        <v>1</v>
      </c>
      <c r="H129" s="15"/>
      <c r="I129" s="22" t="s">
        <v>212</v>
      </c>
      <c r="J129" s="22" t="s">
        <v>212</v>
      </c>
      <c r="K129" s="15">
        <v>2008</v>
      </c>
      <c r="L129" s="22" t="s">
        <v>494</v>
      </c>
    </row>
    <row r="130" spans="1:12" ht="15" customHeight="1">
      <c r="A130" s="791"/>
      <c r="B130" s="791"/>
      <c r="C130" s="790"/>
      <c r="D130" s="15">
        <v>1</v>
      </c>
      <c r="E130" s="15">
        <v>1</v>
      </c>
      <c r="F130" s="15"/>
      <c r="G130" s="15">
        <v>1</v>
      </c>
      <c r="H130" s="15"/>
      <c r="I130" s="22" t="s">
        <v>212</v>
      </c>
      <c r="J130" s="22" t="s">
        <v>212</v>
      </c>
      <c r="K130" s="15">
        <v>2004</v>
      </c>
      <c r="L130" s="22" t="s">
        <v>494</v>
      </c>
    </row>
    <row r="131" spans="1:12" ht="15" customHeight="1">
      <c r="A131" s="791"/>
      <c r="B131" s="791"/>
      <c r="C131" s="790"/>
      <c r="D131" s="15">
        <v>1</v>
      </c>
      <c r="E131" s="15">
        <v>1</v>
      </c>
      <c r="F131" s="15"/>
      <c r="G131" s="15">
        <v>1</v>
      </c>
      <c r="H131" s="15"/>
      <c r="I131" s="22" t="s">
        <v>212</v>
      </c>
      <c r="J131" s="22" t="s">
        <v>212</v>
      </c>
      <c r="K131" s="15">
        <v>2006</v>
      </c>
      <c r="L131" s="22" t="s">
        <v>494</v>
      </c>
    </row>
    <row r="132" spans="1:12" ht="15" customHeight="1">
      <c r="A132" s="791"/>
      <c r="B132" s="791"/>
      <c r="C132" s="790"/>
      <c r="D132" s="15">
        <v>1</v>
      </c>
      <c r="E132" s="15">
        <v>1</v>
      </c>
      <c r="F132" s="15"/>
      <c r="G132" s="15">
        <v>1</v>
      </c>
      <c r="H132" s="15"/>
      <c r="I132" s="22" t="s">
        <v>212</v>
      </c>
      <c r="J132" s="22" t="s">
        <v>212</v>
      </c>
      <c r="K132" s="15">
        <v>1998</v>
      </c>
      <c r="L132" s="22" t="s">
        <v>494</v>
      </c>
    </row>
    <row r="133" spans="1:12" ht="15" customHeight="1">
      <c r="A133" s="806"/>
      <c r="B133" s="806"/>
      <c r="C133" s="808"/>
      <c r="D133" s="15">
        <v>1</v>
      </c>
      <c r="E133" s="15"/>
      <c r="F133" s="15">
        <v>1</v>
      </c>
      <c r="G133" s="15"/>
      <c r="H133" s="15">
        <v>1</v>
      </c>
      <c r="I133" s="22" t="s">
        <v>326</v>
      </c>
      <c r="J133" s="15" t="s">
        <v>326</v>
      </c>
      <c r="K133" s="22">
        <v>1998</v>
      </c>
      <c r="L133" s="22" t="s">
        <v>494</v>
      </c>
    </row>
    <row r="134" spans="1:12" s="52" customFormat="1" ht="15" customHeight="1">
      <c r="A134" s="791"/>
      <c r="B134" s="791"/>
      <c r="C134" s="790"/>
      <c r="D134" s="15">
        <v>1</v>
      </c>
      <c r="E134" s="15"/>
      <c r="F134" s="15">
        <v>1</v>
      </c>
      <c r="G134" s="15"/>
      <c r="H134" s="15">
        <v>1</v>
      </c>
      <c r="I134" s="274" t="s">
        <v>212</v>
      </c>
      <c r="J134" s="22" t="s">
        <v>326</v>
      </c>
      <c r="K134" s="15">
        <v>1998</v>
      </c>
      <c r="L134" s="22" t="s">
        <v>494</v>
      </c>
    </row>
    <row r="135" spans="1:12" ht="15" customHeight="1">
      <c r="A135" s="791"/>
      <c r="B135" s="791"/>
      <c r="C135" s="790"/>
      <c r="D135" s="15">
        <v>1</v>
      </c>
      <c r="E135" s="15"/>
      <c r="F135" s="15">
        <v>1</v>
      </c>
      <c r="G135" s="15"/>
      <c r="H135" s="15">
        <v>1</v>
      </c>
      <c r="I135" s="274" t="s">
        <v>212</v>
      </c>
      <c r="J135" s="15" t="s">
        <v>326</v>
      </c>
      <c r="K135" s="15">
        <v>2001</v>
      </c>
      <c r="L135" s="22" t="s">
        <v>494</v>
      </c>
    </row>
    <row r="136" spans="1:12" ht="15" customHeight="1">
      <c r="A136" s="791"/>
      <c r="B136" s="791"/>
      <c r="C136" s="790"/>
      <c r="D136" s="15">
        <v>1</v>
      </c>
      <c r="E136" s="15"/>
      <c r="F136" s="15">
        <v>1</v>
      </c>
      <c r="G136" s="15">
        <v>1</v>
      </c>
      <c r="H136" s="15"/>
      <c r="I136" s="274" t="s">
        <v>212</v>
      </c>
      <c r="J136" s="15" t="s">
        <v>212</v>
      </c>
      <c r="K136" s="15">
        <v>2002</v>
      </c>
      <c r="L136" s="22" t="s">
        <v>494</v>
      </c>
    </row>
    <row r="137" spans="1:12" ht="15" customHeight="1">
      <c r="A137" s="791"/>
      <c r="B137" s="791"/>
      <c r="C137" s="790"/>
      <c r="D137" s="15">
        <v>1</v>
      </c>
      <c r="E137" s="15">
        <v>1</v>
      </c>
      <c r="F137" s="15"/>
      <c r="G137" s="15">
        <v>1</v>
      </c>
      <c r="H137" s="15"/>
      <c r="I137" s="274" t="s">
        <v>212</v>
      </c>
      <c r="J137" s="15" t="s">
        <v>212</v>
      </c>
      <c r="K137" s="15">
        <v>2000</v>
      </c>
      <c r="L137" s="22" t="s">
        <v>494</v>
      </c>
    </row>
    <row r="138" spans="1:12" s="136" customFormat="1" ht="15" customHeight="1">
      <c r="A138" s="1073" t="s">
        <v>307</v>
      </c>
      <c r="B138" s="1156"/>
      <c r="C138" s="107"/>
      <c r="D138" s="107">
        <f>SUM(D126:D137)</f>
        <v>12</v>
      </c>
      <c r="E138" s="107">
        <f>SUM(E126:E137)</f>
        <v>6</v>
      </c>
      <c r="F138" s="107">
        <f>SUM(F126:F137)</f>
        <v>6</v>
      </c>
      <c r="G138" s="107">
        <f>SUM(G126:G137)</f>
        <v>9</v>
      </c>
      <c r="H138" s="107">
        <f>SUM(H126:H137)</f>
        <v>3</v>
      </c>
      <c r="I138" s="107"/>
      <c r="J138" s="107"/>
      <c r="K138" s="107"/>
      <c r="L138" s="107"/>
    </row>
    <row r="139" spans="1:12" s="64" customFormat="1" ht="15" customHeight="1">
      <c r="A139" s="1058" t="s">
        <v>95</v>
      </c>
      <c r="B139" s="1059"/>
      <c r="C139" s="120"/>
      <c r="D139" s="120">
        <f>D118+D125+D138</f>
        <v>19</v>
      </c>
      <c r="E139" s="120">
        <f>E118+E125+E138</f>
        <v>8</v>
      </c>
      <c r="F139" s="120">
        <f>F118+F125+F138</f>
        <v>11</v>
      </c>
      <c r="G139" s="120">
        <f>G118+G125+G138</f>
        <v>11</v>
      </c>
      <c r="H139" s="120">
        <f>H118+H125+H138</f>
        <v>8</v>
      </c>
      <c r="I139" s="120"/>
      <c r="J139" s="120"/>
      <c r="K139" s="120"/>
      <c r="L139" s="109"/>
    </row>
    <row r="140" spans="1:12" s="51" customFormat="1" ht="15" customHeight="1">
      <c r="A140" s="1083" t="s">
        <v>68</v>
      </c>
      <c r="B140" s="1084"/>
      <c r="C140" s="19"/>
      <c r="D140" s="19"/>
      <c r="E140" s="19"/>
      <c r="F140" s="19"/>
      <c r="G140" s="19"/>
      <c r="H140" s="19"/>
      <c r="I140" s="19"/>
      <c r="J140" s="19"/>
      <c r="K140" s="19"/>
      <c r="L140" s="39"/>
    </row>
    <row r="141" spans="1:12" s="50" customFormat="1" ht="55.5" customHeight="1">
      <c r="A141" s="39" t="s">
        <v>332</v>
      </c>
      <c r="B141" s="39" t="s">
        <v>333</v>
      </c>
      <c r="C141" s="39" t="s">
        <v>213</v>
      </c>
      <c r="D141" s="115" t="s">
        <v>36</v>
      </c>
      <c r="E141" s="115" t="s">
        <v>73</v>
      </c>
      <c r="F141" s="115" t="s">
        <v>74</v>
      </c>
      <c r="G141" s="115" t="s">
        <v>37</v>
      </c>
      <c r="H141" s="115" t="s">
        <v>38</v>
      </c>
      <c r="I141" s="115" t="s">
        <v>15</v>
      </c>
      <c r="J141" s="115" t="s">
        <v>214</v>
      </c>
      <c r="K141" s="115" t="s">
        <v>39</v>
      </c>
      <c r="L141" s="115" t="s">
        <v>2</v>
      </c>
    </row>
    <row r="142" spans="1:12" s="53" customFormat="1" ht="15" customHeight="1">
      <c r="A142" s="791"/>
      <c r="B142" s="791"/>
      <c r="C142" s="790"/>
      <c r="D142" s="21">
        <v>1</v>
      </c>
      <c r="E142" s="21"/>
      <c r="F142" s="21">
        <v>1</v>
      </c>
      <c r="G142" s="21">
        <v>1</v>
      </c>
      <c r="H142" s="485"/>
      <c r="I142" s="22" t="s">
        <v>212</v>
      </c>
      <c r="J142" s="22" t="s">
        <v>212</v>
      </c>
      <c r="K142" s="22">
        <v>2007</v>
      </c>
      <c r="L142" s="22" t="s">
        <v>490</v>
      </c>
    </row>
    <row r="143" spans="1:12" s="53" customFormat="1" ht="15" customHeight="1">
      <c r="A143" s="861"/>
      <c r="B143" s="861"/>
      <c r="C143" s="871"/>
      <c r="D143" s="357">
        <v>1</v>
      </c>
      <c r="E143" s="434">
        <v>1</v>
      </c>
      <c r="F143" s="434"/>
      <c r="G143" s="357"/>
      <c r="H143" s="357">
        <v>1</v>
      </c>
      <c r="I143" s="274" t="s">
        <v>212</v>
      </c>
      <c r="J143" s="397" t="s">
        <v>18</v>
      </c>
      <c r="K143" s="392">
        <v>1995</v>
      </c>
      <c r="L143" s="22" t="s">
        <v>490</v>
      </c>
    </row>
    <row r="144" spans="1:12" s="53" customFormat="1" ht="15" customHeight="1">
      <c r="A144" s="861"/>
      <c r="B144" s="861"/>
      <c r="C144" s="871"/>
      <c r="D144" s="274">
        <v>1</v>
      </c>
      <c r="E144" s="432">
        <v>1</v>
      </c>
      <c r="F144" s="435"/>
      <c r="G144" s="357"/>
      <c r="H144" s="357">
        <v>1</v>
      </c>
      <c r="I144" s="274" t="s">
        <v>212</v>
      </c>
      <c r="J144" s="397" t="s">
        <v>18</v>
      </c>
      <c r="K144" s="392">
        <v>1995</v>
      </c>
      <c r="L144" s="22" t="s">
        <v>490</v>
      </c>
    </row>
    <row r="145" spans="1:12" s="53" customFormat="1" ht="15" customHeight="1">
      <c r="A145" s="791"/>
      <c r="B145" s="872"/>
      <c r="C145" s="873"/>
      <c r="D145" s="21">
        <v>1</v>
      </c>
      <c r="E145" s="21"/>
      <c r="F145" s="21">
        <v>1</v>
      </c>
      <c r="G145" s="21">
        <v>1</v>
      </c>
      <c r="H145" s="21"/>
      <c r="I145" s="22" t="s">
        <v>212</v>
      </c>
      <c r="J145" s="22" t="s">
        <v>212</v>
      </c>
      <c r="K145" s="21">
        <v>2011</v>
      </c>
      <c r="L145" s="22" t="s">
        <v>490</v>
      </c>
    </row>
    <row r="146" spans="1:12" s="53" customFormat="1" ht="15" customHeight="1">
      <c r="A146" s="791"/>
      <c r="B146" s="872"/>
      <c r="C146" s="873"/>
      <c r="D146" s="21">
        <v>1</v>
      </c>
      <c r="E146" s="21"/>
      <c r="F146" s="21">
        <v>1</v>
      </c>
      <c r="G146" s="21">
        <v>1</v>
      </c>
      <c r="H146" s="21"/>
      <c r="I146" s="22" t="s">
        <v>212</v>
      </c>
      <c r="J146" s="22" t="s">
        <v>212</v>
      </c>
      <c r="K146" s="21">
        <v>2011</v>
      </c>
      <c r="L146" s="22" t="s">
        <v>490</v>
      </c>
    </row>
    <row r="147" spans="1:12" s="136" customFormat="1" ht="15" customHeight="1">
      <c r="A147" s="1073" t="s">
        <v>308</v>
      </c>
      <c r="B147" s="1156"/>
      <c r="C147" s="107"/>
      <c r="D147" s="107">
        <f>SUM(D142:D146)</f>
        <v>5</v>
      </c>
      <c r="E147" s="107">
        <f>SUM(E143:E146)</f>
        <v>2</v>
      </c>
      <c r="F147" s="107">
        <f>SUM(F142:F146)</f>
        <v>3</v>
      </c>
      <c r="G147" s="107">
        <f>SUM(G142:G146)</f>
        <v>3</v>
      </c>
      <c r="H147" s="107">
        <f>SUM(H142:H146)</f>
        <v>2</v>
      </c>
      <c r="I147" s="107"/>
      <c r="J147" s="107"/>
      <c r="K147" s="107"/>
      <c r="L147" s="107"/>
    </row>
    <row r="148" spans="1:12" s="53" customFormat="1" ht="15" customHeight="1">
      <c r="A148" s="791"/>
      <c r="B148" s="872"/>
      <c r="C148" s="873"/>
      <c r="D148" s="21">
        <v>1</v>
      </c>
      <c r="E148" s="21"/>
      <c r="F148" s="21">
        <v>1</v>
      </c>
      <c r="G148" s="21">
        <v>1</v>
      </c>
      <c r="H148" s="21"/>
      <c r="I148" s="22" t="s">
        <v>212</v>
      </c>
      <c r="J148" s="22" t="s">
        <v>212</v>
      </c>
      <c r="K148" s="21">
        <v>2008</v>
      </c>
      <c r="L148" s="22" t="s">
        <v>492</v>
      </c>
    </row>
    <row r="149" spans="1:12" s="53" customFormat="1" ht="15" customHeight="1">
      <c r="A149" s="861"/>
      <c r="B149" s="861"/>
      <c r="C149" s="874"/>
      <c r="D149" s="21">
        <v>1</v>
      </c>
      <c r="E149" s="21">
        <v>1</v>
      </c>
      <c r="F149" s="21"/>
      <c r="G149" s="21">
        <v>1</v>
      </c>
      <c r="H149" s="21"/>
      <c r="I149" s="22" t="s">
        <v>212</v>
      </c>
      <c r="J149" s="22" t="s">
        <v>212</v>
      </c>
      <c r="K149" s="21">
        <v>2005</v>
      </c>
      <c r="L149" s="22" t="s">
        <v>492</v>
      </c>
    </row>
    <row r="150" spans="1:12" s="53" customFormat="1" ht="15" customHeight="1">
      <c r="A150" s="875"/>
      <c r="B150" s="875"/>
      <c r="C150" s="876"/>
      <c r="D150" s="21">
        <v>1</v>
      </c>
      <c r="E150" s="21">
        <v>1</v>
      </c>
      <c r="F150" s="21"/>
      <c r="G150" s="21">
        <v>1</v>
      </c>
      <c r="H150" s="21"/>
      <c r="I150" s="438" t="s">
        <v>212</v>
      </c>
      <c r="J150" s="472" t="s">
        <v>18</v>
      </c>
      <c r="K150" s="473">
        <v>2001</v>
      </c>
      <c r="L150" s="22" t="s">
        <v>492</v>
      </c>
    </row>
    <row r="151" spans="1:12" s="53" customFormat="1" ht="15" customHeight="1">
      <c r="A151" s="877"/>
      <c r="B151" s="789"/>
      <c r="C151" s="835"/>
      <c r="D151" s="21">
        <v>1</v>
      </c>
      <c r="E151" s="21"/>
      <c r="F151" s="21">
        <v>1</v>
      </c>
      <c r="G151" s="21"/>
      <c r="H151" s="21">
        <v>1</v>
      </c>
      <c r="I151" s="434" t="s">
        <v>212</v>
      </c>
      <c r="J151" s="474" t="s">
        <v>460</v>
      </c>
      <c r="K151" s="392">
        <v>1998</v>
      </c>
      <c r="L151" s="22" t="s">
        <v>492</v>
      </c>
    </row>
    <row r="152" spans="1:12" s="53" customFormat="1" ht="15" customHeight="1">
      <c r="A152" s="811"/>
      <c r="B152" s="811"/>
      <c r="C152" s="878"/>
      <c r="D152" s="21">
        <v>1</v>
      </c>
      <c r="E152" s="21">
        <v>1</v>
      </c>
      <c r="F152" s="21"/>
      <c r="G152" s="21"/>
      <c r="H152" s="21">
        <v>1</v>
      </c>
      <c r="I152" s="321" t="s">
        <v>212</v>
      </c>
      <c r="J152" s="397" t="s">
        <v>460</v>
      </c>
      <c r="K152" s="392">
        <v>1995</v>
      </c>
      <c r="L152" s="22" t="s">
        <v>492</v>
      </c>
    </row>
    <row r="153" spans="1:12" s="53" customFormat="1" ht="15" customHeight="1">
      <c r="A153" s="861"/>
      <c r="B153" s="861"/>
      <c r="C153" s="876"/>
      <c r="D153" s="21">
        <v>1</v>
      </c>
      <c r="E153" s="21">
        <v>1</v>
      </c>
      <c r="F153" s="21"/>
      <c r="G153" s="21"/>
      <c r="H153" s="21">
        <v>1</v>
      </c>
      <c r="I153" s="321" t="s">
        <v>212</v>
      </c>
      <c r="J153" s="397" t="s">
        <v>460</v>
      </c>
      <c r="K153" s="392">
        <v>1997</v>
      </c>
      <c r="L153" s="22" t="s">
        <v>492</v>
      </c>
    </row>
    <row r="154" spans="1:12" s="53" customFormat="1" ht="15" customHeight="1">
      <c r="A154" s="791"/>
      <c r="B154" s="872"/>
      <c r="C154" s="873"/>
      <c r="D154" s="21">
        <v>1</v>
      </c>
      <c r="E154" s="21"/>
      <c r="F154" s="21">
        <v>1</v>
      </c>
      <c r="G154" s="21"/>
      <c r="H154" s="21">
        <v>1</v>
      </c>
      <c r="I154" s="438" t="s">
        <v>212</v>
      </c>
      <c r="J154" s="472" t="s">
        <v>18</v>
      </c>
      <c r="K154" s="21">
        <v>2011</v>
      </c>
      <c r="L154" s="22" t="s">
        <v>492</v>
      </c>
    </row>
    <row r="155" spans="1:12" s="53" customFormat="1" ht="15" customHeight="1">
      <c r="A155" s="791"/>
      <c r="B155" s="872"/>
      <c r="C155" s="873"/>
      <c r="D155" s="21">
        <v>1</v>
      </c>
      <c r="E155" s="21"/>
      <c r="F155" s="21">
        <v>1</v>
      </c>
      <c r="G155" s="21"/>
      <c r="H155" s="21">
        <v>1</v>
      </c>
      <c r="I155" s="438" t="s">
        <v>212</v>
      </c>
      <c r="J155" s="472" t="s">
        <v>18</v>
      </c>
      <c r="K155" s="21">
        <v>2000</v>
      </c>
      <c r="L155" s="22" t="s">
        <v>492</v>
      </c>
    </row>
    <row r="156" spans="1:12" s="53" customFormat="1" ht="15" customHeight="1">
      <c r="A156" s="861"/>
      <c r="B156" s="861"/>
      <c r="C156" s="876"/>
      <c r="D156" s="21">
        <v>1</v>
      </c>
      <c r="E156" s="21">
        <v>1</v>
      </c>
      <c r="F156" s="21"/>
      <c r="G156" s="21"/>
      <c r="H156" s="21">
        <v>1</v>
      </c>
      <c r="I156" s="321" t="s">
        <v>212</v>
      </c>
      <c r="J156" s="397" t="s">
        <v>18</v>
      </c>
      <c r="K156" s="392">
        <v>1995</v>
      </c>
      <c r="L156" s="22" t="s">
        <v>492</v>
      </c>
    </row>
    <row r="157" spans="1:12" s="53" customFormat="1" ht="15" customHeight="1">
      <c r="A157" s="861"/>
      <c r="B157" s="875"/>
      <c r="C157" s="879"/>
      <c r="D157" s="21">
        <v>1</v>
      </c>
      <c r="E157" s="21">
        <v>1</v>
      </c>
      <c r="F157" s="21"/>
      <c r="G157" s="21"/>
      <c r="H157" s="21">
        <v>1</v>
      </c>
      <c r="I157" s="486" t="s">
        <v>212</v>
      </c>
      <c r="J157" s="397" t="s">
        <v>18</v>
      </c>
      <c r="K157" s="392">
        <v>2010</v>
      </c>
      <c r="L157" s="22" t="s">
        <v>492</v>
      </c>
    </row>
    <row r="158" spans="1:12" s="53" customFormat="1" ht="15" customHeight="1">
      <c r="A158" s="791"/>
      <c r="B158" s="872"/>
      <c r="C158" s="873"/>
      <c r="D158" s="21">
        <v>1</v>
      </c>
      <c r="E158" s="21"/>
      <c r="F158" s="21">
        <v>1</v>
      </c>
      <c r="G158" s="21"/>
      <c r="H158" s="21">
        <v>1</v>
      </c>
      <c r="I158" s="21" t="s">
        <v>212</v>
      </c>
      <c r="J158" s="21" t="s">
        <v>343</v>
      </c>
      <c r="K158" s="21">
        <v>1998</v>
      </c>
      <c r="L158" s="22" t="s">
        <v>492</v>
      </c>
    </row>
    <row r="159" spans="1:12" s="53" customFormat="1" ht="15" customHeight="1">
      <c r="A159" s="791"/>
      <c r="B159" s="872"/>
      <c r="C159" s="873"/>
      <c r="D159" s="21">
        <v>1</v>
      </c>
      <c r="E159" s="21"/>
      <c r="F159" s="21">
        <v>1</v>
      </c>
      <c r="G159" s="21"/>
      <c r="H159" s="21">
        <v>1</v>
      </c>
      <c r="I159" s="21" t="s">
        <v>212</v>
      </c>
      <c r="J159" s="21" t="s">
        <v>16</v>
      </c>
      <c r="K159" s="21">
        <v>2003</v>
      </c>
      <c r="L159" s="22" t="s">
        <v>492</v>
      </c>
    </row>
    <row r="160" spans="1:12" s="53" customFormat="1" ht="15" customHeight="1">
      <c r="A160" s="820"/>
      <c r="B160" s="820"/>
      <c r="C160" s="825"/>
      <c r="D160" s="22">
        <v>1</v>
      </c>
      <c r="E160" s="394"/>
      <c r="F160" s="394">
        <v>1</v>
      </c>
      <c r="G160" s="22">
        <v>1</v>
      </c>
      <c r="H160" s="250"/>
      <c r="I160" s="395" t="s">
        <v>212</v>
      </c>
      <c r="J160" s="405" t="s">
        <v>136</v>
      </c>
      <c r="K160" s="394">
        <v>2001</v>
      </c>
      <c r="L160" s="22" t="s">
        <v>492</v>
      </c>
    </row>
    <row r="161" spans="1:12" s="53" customFormat="1" ht="15" customHeight="1">
      <c r="A161" s="861"/>
      <c r="B161" s="861"/>
      <c r="C161" s="876"/>
      <c r="D161" s="444">
        <v>1</v>
      </c>
      <c r="E161" s="446">
        <v>1</v>
      </c>
      <c r="F161" s="442"/>
      <c r="G161" s="445"/>
      <c r="H161" s="357">
        <v>1</v>
      </c>
      <c r="I161" s="446" t="s">
        <v>212</v>
      </c>
      <c r="J161" s="450" t="s">
        <v>327</v>
      </c>
      <c r="K161" s="392">
        <v>2003</v>
      </c>
      <c r="L161" s="22" t="s">
        <v>492</v>
      </c>
    </row>
    <row r="162" spans="1:12" s="53" customFormat="1" ht="15" customHeight="1">
      <c r="A162" s="875"/>
      <c r="B162" s="861"/>
      <c r="C162" s="876"/>
      <c r="D162" s="448">
        <v>1</v>
      </c>
      <c r="E162" s="447">
        <v>1</v>
      </c>
      <c r="F162" s="446"/>
      <c r="G162" s="445"/>
      <c r="H162" s="357">
        <v>1</v>
      </c>
      <c r="I162" s="446" t="s">
        <v>212</v>
      </c>
      <c r="J162" s="450" t="s">
        <v>327</v>
      </c>
      <c r="K162" s="432">
        <v>2001</v>
      </c>
      <c r="L162" s="22" t="s">
        <v>492</v>
      </c>
    </row>
    <row r="163" spans="1:12" s="53" customFormat="1" ht="15" customHeight="1">
      <c r="A163" s="789"/>
      <c r="B163" s="880"/>
      <c r="C163" s="881"/>
      <c r="D163" s="448">
        <v>1</v>
      </c>
      <c r="E163" s="447"/>
      <c r="F163" s="446">
        <v>1</v>
      </c>
      <c r="G163" s="445"/>
      <c r="H163" s="357">
        <v>1</v>
      </c>
      <c r="I163" s="446" t="s">
        <v>212</v>
      </c>
      <c r="J163" s="481" t="s">
        <v>327</v>
      </c>
      <c r="K163" s="434">
        <v>2000</v>
      </c>
      <c r="L163" s="22" t="s">
        <v>492</v>
      </c>
    </row>
    <row r="164" spans="1:12" s="136" customFormat="1" ht="15" customHeight="1">
      <c r="A164" s="1161" t="s">
        <v>309</v>
      </c>
      <c r="B164" s="1162"/>
      <c r="C164" s="107"/>
      <c r="D164" s="107">
        <f>SUM(D148:D163)</f>
        <v>16</v>
      </c>
      <c r="E164" s="107">
        <f>SUM(E148:E163)</f>
        <v>8</v>
      </c>
      <c r="F164" s="107">
        <f>SUM(F148:F163)</f>
        <v>8</v>
      </c>
      <c r="G164" s="107">
        <f>SUM(G148:G163)</f>
        <v>4</v>
      </c>
      <c r="H164" s="107">
        <f>SUM(H148:H163)</f>
        <v>12</v>
      </c>
      <c r="I164" s="107"/>
      <c r="J164" s="107"/>
      <c r="K164" s="107"/>
      <c r="L164" s="107"/>
    </row>
    <row r="165" spans="1:12" s="53" customFormat="1" ht="15" customHeight="1">
      <c r="A165" s="791"/>
      <c r="B165" s="872"/>
      <c r="C165" s="873"/>
      <c r="D165" s="21">
        <v>1</v>
      </c>
      <c r="E165" s="21">
        <v>1</v>
      </c>
      <c r="F165" s="21"/>
      <c r="G165" s="21">
        <v>1</v>
      </c>
      <c r="H165" s="21"/>
      <c r="I165" s="21" t="s">
        <v>212</v>
      </c>
      <c r="J165" s="21" t="s">
        <v>212</v>
      </c>
      <c r="K165" s="21">
        <v>2001</v>
      </c>
      <c r="L165" s="22" t="s">
        <v>494</v>
      </c>
    </row>
    <row r="166" spans="1:12" s="53" customFormat="1" ht="15" customHeight="1">
      <c r="A166" s="791"/>
      <c r="B166" s="872"/>
      <c r="C166" s="873"/>
      <c r="D166" s="21">
        <v>1</v>
      </c>
      <c r="E166" s="21">
        <v>1</v>
      </c>
      <c r="F166" s="21"/>
      <c r="G166" s="21"/>
      <c r="H166" s="21">
        <v>1</v>
      </c>
      <c r="I166" s="21" t="s">
        <v>212</v>
      </c>
      <c r="J166" s="21" t="s">
        <v>18</v>
      </c>
      <c r="K166" s="21">
        <v>2000</v>
      </c>
      <c r="L166" s="22" t="s">
        <v>494</v>
      </c>
    </row>
    <row r="167" spans="1:12" s="53" customFormat="1" ht="15" customHeight="1">
      <c r="A167" s="791"/>
      <c r="B167" s="872"/>
      <c r="C167" s="873"/>
      <c r="D167" s="21">
        <v>1</v>
      </c>
      <c r="E167" s="21">
        <v>1</v>
      </c>
      <c r="F167" s="21"/>
      <c r="G167" s="21">
        <v>1</v>
      </c>
      <c r="H167" s="21"/>
      <c r="I167" s="21" t="s">
        <v>212</v>
      </c>
      <c r="J167" s="21" t="s">
        <v>212</v>
      </c>
      <c r="K167" s="21">
        <v>1994</v>
      </c>
      <c r="L167" s="22" t="s">
        <v>494</v>
      </c>
    </row>
    <row r="168" spans="1:12" s="53" customFormat="1" ht="15" customHeight="1">
      <c r="A168" s="791"/>
      <c r="B168" s="872"/>
      <c r="C168" s="873"/>
      <c r="D168" s="21">
        <v>1</v>
      </c>
      <c r="E168" s="21">
        <v>1</v>
      </c>
      <c r="F168" s="21"/>
      <c r="G168" s="21">
        <v>1</v>
      </c>
      <c r="H168" s="21"/>
      <c r="I168" s="21" t="s">
        <v>212</v>
      </c>
      <c r="J168" s="21" t="s">
        <v>212</v>
      </c>
      <c r="K168" s="21">
        <v>2000</v>
      </c>
      <c r="L168" s="22" t="s">
        <v>494</v>
      </c>
    </row>
    <row r="169" spans="1:12" s="53" customFormat="1" ht="15" customHeight="1">
      <c r="A169" s="791"/>
      <c r="B169" s="791"/>
      <c r="C169" s="873"/>
      <c r="D169" s="21">
        <v>1</v>
      </c>
      <c r="E169" s="21">
        <v>1</v>
      </c>
      <c r="F169" s="21"/>
      <c r="G169" s="21"/>
      <c r="H169" s="21">
        <v>1</v>
      </c>
      <c r="I169" s="21" t="s">
        <v>212</v>
      </c>
      <c r="J169" s="21" t="s">
        <v>18</v>
      </c>
      <c r="K169" s="21">
        <v>2004</v>
      </c>
      <c r="L169" s="22" t="s">
        <v>494</v>
      </c>
    </row>
    <row r="170" spans="1:12" s="53" customFormat="1" ht="15" customHeight="1">
      <c r="A170" s="791"/>
      <c r="B170" s="872"/>
      <c r="C170" s="873"/>
      <c r="D170" s="21">
        <v>1</v>
      </c>
      <c r="E170" s="21">
        <v>1</v>
      </c>
      <c r="F170" s="21"/>
      <c r="G170" s="21"/>
      <c r="H170" s="21">
        <v>1</v>
      </c>
      <c r="I170" s="21" t="s">
        <v>212</v>
      </c>
      <c r="J170" s="21" t="s">
        <v>18</v>
      </c>
      <c r="K170" s="21">
        <v>2004</v>
      </c>
      <c r="L170" s="22" t="s">
        <v>494</v>
      </c>
    </row>
    <row r="171" spans="1:12" s="53" customFormat="1" ht="15" customHeight="1">
      <c r="A171" s="791"/>
      <c r="B171" s="872"/>
      <c r="C171" s="873"/>
      <c r="D171" s="21">
        <v>1</v>
      </c>
      <c r="E171" s="21">
        <v>1</v>
      </c>
      <c r="F171" s="21"/>
      <c r="G171" s="21">
        <v>1</v>
      </c>
      <c r="H171" s="21"/>
      <c r="I171" s="21" t="s">
        <v>212</v>
      </c>
      <c r="J171" s="21" t="s">
        <v>212</v>
      </c>
      <c r="K171" s="21">
        <v>2001</v>
      </c>
      <c r="L171" s="22" t="s">
        <v>494</v>
      </c>
    </row>
    <row r="172" spans="1:12" s="53" customFormat="1" ht="15" customHeight="1">
      <c r="A172" s="791"/>
      <c r="B172" s="872"/>
      <c r="C172" s="873"/>
      <c r="D172" s="21">
        <v>1</v>
      </c>
      <c r="E172" s="21"/>
      <c r="F172" s="21">
        <v>1</v>
      </c>
      <c r="G172" s="21">
        <v>1</v>
      </c>
      <c r="H172" s="21"/>
      <c r="I172" s="21" t="s">
        <v>212</v>
      </c>
      <c r="J172" s="21" t="s">
        <v>212</v>
      </c>
      <c r="K172" s="21">
        <v>2001</v>
      </c>
      <c r="L172" s="22" t="s">
        <v>494</v>
      </c>
    </row>
    <row r="173" spans="1:12" s="136" customFormat="1" ht="15" customHeight="1">
      <c r="A173" s="1073" t="s">
        <v>310</v>
      </c>
      <c r="B173" s="1156"/>
      <c r="C173" s="107"/>
      <c r="D173" s="107">
        <f>SUM(D165:D172)</f>
        <v>8</v>
      </c>
      <c r="E173" s="107">
        <f>SUM(E165:E172)</f>
        <v>7</v>
      </c>
      <c r="F173" s="107">
        <f>SUM(F165:F172)</f>
        <v>1</v>
      </c>
      <c r="G173" s="107">
        <f>SUM(G165:G172)</f>
        <v>5</v>
      </c>
      <c r="H173" s="107">
        <f>SUM(H165:H172)</f>
        <v>3</v>
      </c>
      <c r="I173" s="107"/>
      <c r="J173" s="107"/>
      <c r="K173" s="107"/>
      <c r="L173" s="107"/>
    </row>
    <row r="174" spans="1:12" s="64" customFormat="1" ht="15" customHeight="1">
      <c r="A174" s="1058" t="s">
        <v>478</v>
      </c>
      <c r="B174" s="1059"/>
      <c r="C174" s="108"/>
      <c r="D174" s="108">
        <f>D173+D164+D147</f>
        <v>29</v>
      </c>
      <c r="E174" s="108">
        <f>E173+E164+E147</f>
        <v>17</v>
      </c>
      <c r="F174" s="108">
        <f>F173+F164+F147</f>
        <v>12</v>
      </c>
      <c r="G174" s="108">
        <f>G173+G164+G147</f>
        <v>12</v>
      </c>
      <c r="H174" s="108">
        <f>H173+H164+H147</f>
        <v>17</v>
      </c>
      <c r="I174" s="108"/>
      <c r="J174" s="108"/>
      <c r="K174" s="108"/>
      <c r="L174" s="109"/>
    </row>
    <row r="175" spans="1:12" s="51" customFormat="1" ht="15" customHeight="1">
      <c r="A175" s="1083" t="s">
        <v>65</v>
      </c>
      <c r="B175" s="1084"/>
      <c r="C175" s="19"/>
      <c r="D175" s="19"/>
      <c r="E175" s="19"/>
      <c r="F175" s="19"/>
      <c r="G175" s="19"/>
      <c r="H175" s="19"/>
      <c r="I175" s="19"/>
      <c r="J175" s="19"/>
      <c r="K175" s="19"/>
      <c r="L175" s="39"/>
    </row>
    <row r="176" spans="1:12" s="50" customFormat="1" ht="55.5" customHeight="1">
      <c r="A176" s="39" t="s">
        <v>332</v>
      </c>
      <c r="B176" s="39" t="s">
        <v>333</v>
      </c>
      <c r="C176" s="39" t="s">
        <v>213</v>
      </c>
      <c r="D176" s="115" t="s">
        <v>36</v>
      </c>
      <c r="E176" s="115" t="s">
        <v>73</v>
      </c>
      <c r="F176" s="115" t="s">
        <v>74</v>
      </c>
      <c r="G176" s="115" t="s">
        <v>37</v>
      </c>
      <c r="H176" s="115" t="s">
        <v>38</v>
      </c>
      <c r="I176" s="115" t="s">
        <v>15</v>
      </c>
      <c r="J176" s="115" t="s">
        <v>214</v>
      </c>
      <c r="K176" s="115" t="s">
        <v>39</v>
      </c>
      <c r="L176" s="115" t="s">
        <v>2</v>
      </c>
    </row>
    <row r="177" spans="1:12" s="64" customFormat="1" ht="15" customHeight="1">
      <c r="A177" s="802"/>
      <c r="B177" s="882"/>
      <c r="C177" s="883"/>
      <c r="D177" s="110">
        <v>1</v>
      </c>
      <c r="E177" s="110"/>
      <c r="F177" s="110">
        <v>1</v>
      </c>
      <c r="G177" s="110"/>
      <c r="H177" s="110">
        <v>1</v>
      </c>
      <c r="I177" s="21" t="s">
        <v>212</v>
      </c>
      <c r="J177" s="21" t="s">
        <v>212</v>
      </c>
      <c r="K177" s="110">
        <v>1997</v>
      </c>
      <c r="L177" s="22" t="s">
        <v>492</v>
      </c>
    </row>
    <row r="178" spans="1:12" s="64" customFormat="1" ht="14.25" customHeight="1">
      <c r="A178" s="884"/>
      <c r="B178" s="861"/>
      <c r="C178" s="885"/>
      <c r="D178" s="110">
        <v>1</v>
      </c>
      <c r="E178" s="110"/>
      <c r="F178" s="110">
        <v>1</v>
      </c>
      <c r="G178" s="110"/>
      <c r="H178" s="110">
        <v>1</v>
      </c>
      <c r="I178" s="392" t="s">
        <v>212</v>
      </c>
      <c r="J178" s="392" t="s">
        <v>500</v>
      </c>
      <c r="K178" s="392">
        <v>1997</v>
      </c>
      <c r="L178" s="22" t="s">
        <v>492</v>
      </c>
    </row>
    <row r="179" spans="1:12" s="64" customFormat="1" ht="15" customHeight="1">
      <c r="A179" s="809"/>
      <c r="B179" s="809"/>
      <c r="C179" s="808"/>
      <c r="D179" s="110">
        <v>1</v>
      </c>
      <c r="E179" s="110"/>
      <c r="F179" s="110">
        <v>1</v>
      </c>
      <c r="G179" s="110">
        <v>1</v>
      </c>
      <c r="H179" s="110"/>
      <c r="I179" s="22" t="s">
        <v>212</v>
      </c>
      <c r="J179" s="223" t="s">
        <v>212</v>
      </c>
      <c r="K179" s="420">
        <v>1994</v>
      </c>
      <c r="L179" s="22" t="s">
        <v>492</v>
      </c>
    </row>
    <row r="180" spans="1:12" s="64" customFormat="1" ht="15" customHeight="1">
      <c r="A180" s="820"/>
      <c r="B180" s="827"/>
      <c r="C180" s="801"/>
      <c r="D180" s="409">
        <v>1</v>
      </c>
      <c r="E180" s="395">
        <v>1</v>
      </c>
      <c r="F180" s="409"/>
      <c r="G180" s="395">
        <v>1</v>
      </c>
      <c r="H180" s="409"/>
      <c r="I180" s="418" t="s">
        <v>212</v>
      </c>
      <c r="J180" s="423" t="s">
        <v>170</v>
      </c>
      <c r="K180" s="424">
        <v>2008</v>
      </c>
      <c r="L180" s="22" t="s">
        <v>492</v>
      </c>
    </row>
    <row r="181" spans="1:12" s="64" customFormat="1" ht="15" customHeight="1">
      <c r="A181" s="822"/>
      <c r="B181" s="827"/>
      <c r="C181" s="801"/>
      <c r="D181" s="409">
        <v>1</v>
      </c>
      <c r="E181" s="409"/>
      <c r="F181" s="395">
        <v>1</v>
      </c>
      <c r="G181" s="395">
        <v>1</v>
      </c>
      <c r="H181" s="409"/>
      <c r="I181" s="418" t="s">
        <v>212</v>
      </c>
      <c r="J181" s="423" t="s">
        <v>170</v>
      </c>
      <c r="K181" s="424">
        <v>2012</v>
      </c>
      <c r="L181" s="22" t="s">
        <v>492</v>
      </c>
    </row>
    <row r="182" spans="1:12" s="136" customFormat="1" ht="15" customHeight="1">
      <c r="A182" s="1052" t="s">
        <v>311</v>
      </c>
      <c r="B182" s="1052"/>
      <c r="C182" s="107"/>
      <c r="D182" s="107">
        <f>SUM(D177:D181)</f>
        <v>5</v>
      </c>
      <c r="E182" s="107">
        <f>SUM(E177:E181)</f>
        <v>1</v>
      </c>
      <c r="F182" s="107">
        <f>SUM(F177:F181)</f>
        <v>4</v>
      </c>
      <c r="G182" s="107">
        <f>SUM(G177:G181)</f>
        <v>3</v>
      </c>
      <c r="H182" s="107">
        <f>SUM(H177:H181)</f>
        <v>2</v>
      </c>
      <c r="I182" s="107"/>
      <c r="J182" s="107"/>
      <c r="K182" s="107"/>
      <c r="L182" s="107"/>
    </row>
    <row r="183" spans="1:12" s="64" customFormat="1" ht="15" customHeight="1">
      <c r="A183" s="802"/>
      <c r="B183" s="882"/>
      <c r="C183" s="883"/>
      <c r="D183" s="110">
        <v>1</v>
      </c>
      <c r="E183" s="110"/>
      <c r="F183" s="110">
        <v>1</v>
      </c>
      <c r="G183" s="110">
        <v>1</v>
      </c>
      <c r="H183" s="110"/>
      <c r="I183" s="22" t="s">
        <v>212</v>
      </c>
      <c r="J183" s="223" t="s">
        <v>212</v>
      </c>
      <c r="K183" s="110">
        <v>1997</v>
      </c>
      <c r="L183" s="22" t="s">
        <v>494</v>
      </c>
    </row>
    <row r="184" spans="1:12" s="64" customFormat="1" ht="15" customHeight="1">
      <c r="A184" s="886"/>
      <c r="B184" s="886"/>
      <c r="C184" s="876"/>
      <c r="D184" s="309">
        <v>1</v>
      </c>
      <c r="E184" s="394">
        <v>1</v>
      </c>
      <c r="F184" s="394"/>
      <c r="G184" s="394">
        <v>1</v>
      </c>
      <c r="H184" s="394"/>
      <c r="I184" s="395" t="s">
        <v>212</v>
      </c>
      <c r="J184" s="405" t="s">
        <v>212</v>
      </c>
      <c r="K184" s="394">
        <v>2000</v>
      </c>
      <c r="L184" s="22" t="s">
        <v>494</v>
      </c>
    </row>
    <row r="185" spans="1:12" s="64" customFormat="1" ht="15" customHeight="1">
      <c r="A185" s="802"/>
      <c r="B185" s="882"/>
      <c r="C185" s="883"/>
      <c r="D185" s="110">
        <v>1</v>
      </c>
      <c r="E185" s="110"/>
      <c r="F185" s="110">
        <v>1</v>
      </c>
      <c r="G185" s="110">
        <v>1</v>
      </c>
      <c r="H185" s="110"/>
      <c r="I185" s="395" t="s">
        <v>212</v>
      </c>
      <c r="J185" s="405" t="s">
        <v>212</v>
      </c>
      <c r="K185" s="110">
        <v>2003</v>
      </c>
      <c r="L185" s="22" t="s">
        <v>494</v>
      </c>
    </row>
    <row r="186" spans="1:12" ht="15" customHeight="1">
      <c r="A186" s="791"/>
      <c r="B186" s="791"/>
      <c r="C186" s="790"/>
      <c r="D186" s="15">
        <v>1</v>
      </c>
      <c r="E186" s="15">
        <v>1</v>
      </c>
      <c r="F186" s="15"/>
      <c r="G186" s="15">
        <v>1</v>
      </c>
      <c r="H186" s="15"/>
      <c r="I186" s="395" t="s">
        <v>212</v>
      </c>
      <c r="J186" s="405" t="s">
        <v>212</v>
      </c>
      <c r="K186" s="15">
        <v>2002</v>
      </c>
      <c r="L186" s="22" t="s">
        <v>494</v>
      </c>
    </row>
    <row r="187" spans="1:12" ht="15" customHeight="1">
      <c r="A187" s="791"/>
      <c r="B187" s="791"/>
      <c r="C187" s="790"/>
      <c r="D187" s="15">
        <v>1</v>
      </c>
      <c r="E187" s="15">
        <v>1</v>
      </c>
      <c r="F187" s="15"/>
      <c r="G187" s="15">
        <v>1</v>
      </c>
      <c r="H187" s="15"/>
      <c r="I187" s="395" t="s">
        <v>212</v>
      </c>
      <c r="J187" s="405" t="s">
        <v>212</v>
      </c>
      <c r="K187" s="15">
        <v>2003</v>
      </c>
      <c r="L187" s="22" t="s">
        <v>494</v>
      </c>
    </row>
    <row r="188" spans="1:12" s="64" customFormat="1" ht="15" customHeight="1">
      <c r="A188" s="802"/>
      <c r="B188" s="882"/>
      <c r="C188" s="883"/>
      <c r="D188" s="110">
        <v>1</v>
      </c>
      <c r="E188" s="110">
        <v>1</v>
      </c>
      <c r="F188" s="110"/>
      <c r="G188" s="110">
        <v>1</v>
      </c>
      <c r="H188" s="110"/>
      <c r="I188" s="395" t="s">
        <v>212</v>
      </c>
      <c r="J188" s="405" t="s">
        <v>212</v>
      </c>
      <c r="K188" s="110">
        <v>1997</v>
      </c>
      <c r="L188" s="22" t="s">
        <v>494</v>
      </c>
    </row>
    <row r="189" spans="1:12" s="64" customFormat="1" ht="15" customHeight="1">
      <c r="A189" s="802"/>
      <c r="B189" s="882"/>
      <c r="C189" s="883"/>
      <c r="D189" s="110">
        <v>1</v>
      </c>
      <c r="E189" s="110">
        <v>1</v>
      </c>
      <c r="F189" s="110"/>
      <c r="G189" s="110">
        <v>1</v>
      </c>
      <c r="H189" s="110"/>
      <c r="I189" s="395" t="s">
        <v>212</v>
      </c>
      <c r="J189" s="405" t="s">
        <v>212</v>
      </c>
      <c r="K189" s="110">
        <v>2004</v>
      </c>
      <c r="L189" s="22" t="s">
        <v>494</v>
      </c>
    </row>
    <row r="190" spans="1:241" s="136" customFormat="1" ht="15" customHeight="1">
      <c r="A190" s="1073" t="s">
        <v>312</v>
      </c>
      <c r="B190" s="1156"/>
      <c r="C190" s="107"/>
      <c r="D190" s="107">
        <f>SUM(D184:D189)</f>
        <v>6</v>
      </c>
      <c r="E190" s="107">
        <f>SUM(E184:E189)</f>
        <v>5</v>
      </c>
      <c r="F190" s="107">
        <f>SUM(F184:F189)</f>
        <v>1</v>
      </c>
      <c r="G190" s="107">
        <f>SUM(G184:G189)</f>
        <v>6</v>
      </c>
      <c r="H190" s="107">
        <f>SUM(H184:H189)</f>
        <v>0</v>
      </c>
      <c r="I190" s="107"/>
      <c r="J190" s="107"/>
      <c r="K190" s="107"/>
      <c r="L190" s="107"/>
      <c r="IG190" s="136">
        <f>SUM(B190:IF190)</f>
        <v>18</v>
      </c>
    </row>
    <row r="191" spans="1:12" s="64" customFormat="1" ht="15" customHeight="1">
      <c r="A191" s="1058" t="s">
        <v>340</v>
      </c>
      <c r="B191" s="1059"/>
      <c r="C191" s="108"/>
      <c r="D191" s="108">
        <f>D182+D190</f>
        <v>11</v>
      </c>
      <c r="E191" s="108">
        <f>E182+E190</f>
        <v>6</v>
      </c>
      <c r="F191" s="108">
        <f>F182+F190</f>
        <v>5</v>
      </c>
      <c r="G191" s="108">
        <f>G182+G190</f>
        <v>9</v>
      </c>
      <c r="H191" s="108">
        <f>H182+H190</f>
        <v>2</v>
      </c>
      <c r="I191" s="108"/>
      <c r="J191" s="108"/>
      <c r="K191" s="108"/>
      <c r="L191" s="109"/>
    </row>
    <row r="192" spans="1:12" s="51" customFormat="1" ht="15" customHeight="1">
      <c r="A192" s="1083" t="s">
        <v>69</v>
      </c>
      <c r="B192" s="1084"/>
      <c r="C192" s="19"/>
      <c r="D192" s="19"/>
      <c r="E192" s="19"/>
      <c r="F192" s="19"/>
      <c r="G192" s="19"/>
      <c r="H192" s="19"/>
      <c r="I192" s="19"/>
      <c r="J192" s="19"/>
      <c r="K192" s="19"/>
      <c r="L192" s="39"/>
    </row>
    <row r="193" spans="1:12" s="50" customFormat="1" ht="55.5" customHeight="1">
      <c r="A193" s="39" t="s">
        <v>332</v>
      </c>
      <c r="B193" s="39" t="s">
        <v>333</v>
      </c>
      <c r="C193" s="39" t="s">
        <v>213</v>
      </c>
      <c r="D193" s="115" t="s">
        <v>36</v>
      </c>
      <c r="E193" s="115" t="s">
        <v>73</v>
      </c>
      <c r="F193" s="115" t="s">
        <v>74</v>
      </c>
      <c r="G193" s="115" t="s">
        <v>37</v>
      </c>
      <c r="H193" s="115" t="s">
        <v>38</v>
      </c>
      <c r="I193" s="115" t="s">
        <v>15</v>
      </c>
      <c r="J193" s="115" t="s">
        <v>214</v>
      </c>
      <c r="K193" s="115" t="s">
        <v>39</v>
      </c>
      <c r="L193" s="115" t="s">
        <v>2</v>
      </c>
    </row>
    <row r="194" spans="1:12" s="52" customFormat="1" ht="15" customHeight="1">
      <c r="A194" s="791"/>
      <c r="B194" s="791"/>
      <c r="C194" s="790"/>
      <c r="D194" s="15">
        <v>1</v>
      </c>
      <c r="E194" s="15">
        <v>1</v>
      </c>
      <c r="F194" s="15"/>
      <c r="G194" s="15">
        <v>1</v>
      </c>
      <c r="H194" s="15"/>
      <c r="I194" s="395" t="s">
        <v>212</v>
      </c>
      <c r="J194" s="405" t="s">
        <v>212</v>
      </c>
      <c r="K194" s="15">
        <v>2003</v>
      </c>
      <c r="L194" s="22" t="s">
        <v>490</v>
      </c>
    </row>
    <row r="195" spans="1:12" s="136" customFormat="1" ht="15" customHeight="1">
      <c r="A195" s="1157" t="s">
        <v>313</v>
      </c>
      <c r="B195" s="1158"/>
      <c r="C195" s="107"/>
      <c r="D195" s="107">
        <f>SUM(D194)</f>
        <v>1</v>
      </c>
      <c r="E195" s="107">
        <f>SUM(E194)</f>
        <v>1</v>
      </c>
      <c r="F195" s="107">
        <v>0</v>
      </c>
      <c r="G195" s="107">
        <f>SUM(G194)</f>
        <v>1</v>
      </c>
      <c r="H195" s="107">
        <v>0</v>
      </c>
      <c r="I195" s="107"/>
      <c r="J195" s="107"/>
      <c r="K195" s="107"/>
      <c r="L195" s="107"/>
    </row>
    <row r="196" spans="1:12" s="137" customFormat="1" ht="15" customHeight="1">
      <c r="A196" s="806"/>
      <c r="B196" s="806"/>
      <c r="C196" s="792"/>
      <c r="D196" s="13">
        <v>1</v>
      </c>
      <c r="E196" s="347"/>
      <c r="F196" s="347">
        <v>1</v>
      </c>
      <c r="G196" s="15">
        <v>1</v>
      </c>
      <c r="H196" s="347"/>
      <c r="I196" s="33" t="s">
        <v>212</v>
      </c>
      <c r="J196" s="222" t="s">
        <v>212</v>
      </c>
      <c r="K196" s="22">
        <v>2010</v>
      </c>
      <c r="L196" s="22" t="s">
        <v>492</v>
      </c>
    </row>
    <row r="197" spans="1:12" s="52" customFormat="1" ht="15" customHeight="1">
      <c r="A197" s="861"/>
      <c r="B197" s="861"/>
      <c r="C197" s="876"/>
      <c r="D197" s="224">
        <v>1</v>
      </c>
      <c r="E197" s="15"/>
      <c r="F197" s="15">
        <v>1</v>
      </c>
      <c r="G197" s="15">
        <v>1</v>
      </c>
      <c r="H197" s="15"/>
      <c r="I197" s="398" t="s">
        <v>212</v>
      </c>
      <c r="J197" s="398" t="s">
        <v>423</v>
      </c>
      <c r="K197" s="224">
        <v>1995</v>
      </c>
      <c r="L197" s="22" t="s">
        <v>492</v>
      </c>
    </row>
    <row r="198" spans="1:12" s="52" customFormat="1" ht="15" customHeight="1">
      <c r="A198" s="806"/>
      <c r="B198" s="806"/>
      <c r="C198" s="792"/>
      <c r="D198" s="15">
        <v>1</v>
      </c>
      <c r="E198" s="15">
        <v>1</v>
      </c>
      <c r="F198" s="15"/>
      <c r="G198" s="15"/>
      <c r="H198" s="15">
        <v>1</v>
      </c>
      <c r="I198" s="274" t="s">
        <v>212</v>
      </c>
      <c r="J198" s="22" t="s">
        <v>326</v>
      </c>
      <c r="K198" s="22">
        <v>2000</v>
      </c>
      <c r="L198" s="22" t="s">
        <v>492</v>
      </c>
    </row>
    <row r="199" spans="1:12" s="52" customFormat="1" ht="15" customHeight="1">
      <c r="A199" s="806"/>
      <c r="B199" s="806"/>
      <c r="C199" s="887"/>
      <c r="D199" s="15">
        <v>1</v>
      </c>
      <c r="E199" s="15">
        <v>1</v>
      </c>
      <c r="F199" s="15"/>
      <c r="G199" s="15">
        <v>1</v>
      </c>
      <c r="H199" s="15"/>
      <c r="I199" s="34" t="s">
        <v>212</v>
      </c>
      <c r="J199" s="222" t="s">
        <v>212</v>
      </c>
      <c r="K199" s="22">
        <v>1998</v>
      </c>
      <c r="L199" s="22" t="s">
        <v>492</v>
      </c>
    </row>
    <row r="200" spans="1:12" s="136" customFormat="1" ht="15" customHeight="1">
      <c r="A200" s="1154" t="s">
        <v>314</v>
      </c>
      <c r="B200" s="1155"/>
      <c r="C200" s="107"/>
      <c r="D200" s="107">
        <f>SUM(D196:D199)</f>
        <v>4</v>
      </c>
      <c r="E200" s="107">
        <f>SUM(E196:E199)</f>
        <v>2</v>
      </c>
      <c r="F200" s="107">
        <f>SUM(F196:F199)</f>
        <v>2</v>
      </c>
      <c r="G200" s="107">
        <f>SUM(G196:G199)</f>
        <v>3</v>
      </c>
      <c r="H200" s="107">
        <f>SUM(H196:H199)</f>
        <v>1</v>
      </c>
      <c r="I200" s="107"/>
      <c r="J200" s="107"/>
      <c r="K200" s="107"/>
      <c r="L200" s="107"/>
    </row>
    <row r="201" spans="1:12" s="52" customFormat="1" ht="15" customHeight="1">
      <c r="A201" s="791"/>
      <c r="B201" s="791"/>
      <c r="C201" s="790"/>
      <c r="D201" s="15">
        <v>1</v>
      </c>
      <c r="E201" s="15"/>
      <c r="F201" s="15">
        <v>1</v>
      </c>
      <c r="G201" s="15"/>
      <c r="H201" s="15">
        <v>1</v>
      </c>
      <c r="I201" s="15" t="s">
        <v>326</v>
      </c>
      <c r="J201" s="15" t="s">
        <v>326</v>
      </c>
      <c r="K201" s="15">
        <v>1996</v>
      </c>
      <c r="L201" s="22" t="s">
        <v>494</v>
      </c>
    </row>
    <row r="202" spans="1:12" s="52" customFormat="1" ht="15" customHeight="1">
      <c r="A202" s="791"/>
      <c r="B202" s="791"/>
      <c r="C202" s="790"/>
      <c r="D202" s="15">
        <v>1</v>
      </c>
      <c r="E202" s="15">
        <v>1</v>
      </c>
      <c r="F202" s="15"/>
      <c r="G202" s="15">
        <v>1</v>
      </c>
      <c r="H202" s="15"/>
      <c r="I202" s="15" t="s">
        <v>212</v>
      </c>
      <c r="J202" s="15" t="s">
        <v>486</v>
      </c>
      <c r="K202" s="15">
        <v>2000</v>
      </c>
      <c r="L202" s="22" t="s">
        <v>494</v>
      </c>
    </row>
    <row r="203" spans="1:12" s="136" customFormat="1" ht="15" customHeight="1">
      <c r="A203" s="1073" t="s">
        <v>315</v>
      </c>
      <c r="B203" s="1156"/>
      <c r="C203" s="107"/>
      <c r="D203" s="107">
        <f>SUM(D201:D202)</f>
        <v>2</v>
      </c>
      <c r="E203" s="107">
        <f>SUM(E201:E202)</f>
        <v>1</v>
      </c>
      <c r="F203" s="107">
        <f>SUM(F201:F202)</f>
        <v>1</v>
      </c>
      <c r="G203" s="107">
        <f>SUM(G201:G202)</f>
        <v>1</v>
      </c>
      <c r="H203" s="107">
        <f>SUM(H201:H202)</f>
        <v>1</v>
      </c>
      <c r="I203" s="107"/>
      <c r="J203" s="107"/>
      <c r="K203" s="107"/>
      <c r="L203" s="107"/>
    </row>
    <row r="204" spans="1:12" s="64" customFormat="1" ht="15" customHeight="1">
      <c r="A204" s="1058" t="s">
        <v>13</v>
      </c>
      <c r="B204" s="1059"/>
      <c r="C204" s="108"/>
      <c r="D204" s="108">
        <f>D195+D200+D203</f>
        <v>7</v>
      </c>
      <c r="E204" s="108">
        <f>E195+E200+E203</f>
        <v>4</v>
      </c>
      <c r="F204" s="108">
        <f>F195+F200+F203</f>
        <v>3</v>
      </c>
      <c r="G204" s="108">
        <f>G195+G200+G203</f>
        <v>5</v>
      </c>
      <c r="H204" s="108">
        <f>H195+H200+H203</f>
        <v>2</v>
      </c>
      <c r="I204" s="108"/>
      <c r="J204" s="108"/>
      <c r="K204" s="108"/>
      <c r="L204" s="109"/>
    </row>
    <row r="205" spans="1:12" s="51" customFormat="1" ht="15" customHeight="1">
      <c r="A205" s="1159" t="s">
        <v>70</v>
      </c>
      <c r="B205" s="1160"/>
      <c r="C205" s="19"/>
      <c r="D205" s="19"/>
      <c r="E205" s="19"/>
      <c r="F205" s="19"/>
      <c r="G205" s="19"/>
      <c r="H205" s="19"/>
      <c r="I205" s="19"/>
      <c r="J205" s="19"/>
      <c r="K205" s="19"/>
      <c r="L205" s="39"/>
    </row>
    <row r="206" spans="1:12" s="50" customFormat="1" ht="55.5" customHeight="1">
      <c r="A206" s="39" t="s">
        <v>332</v>
      </c>
      <c r="B206" s="39" t="s">
        <v>333</v>
      </c>
      <c r="C206" s="39" t="s">
        <v>213</v>
      </c>
      <c r="D206" s="115" t="s">
        <v>36</v>
      </c>
      <c r="E206" s="115" t="s">
        <v>73</v>
      </c>
      <c r="F206" s="115" t="s">
        <v>74</v>
      </c>
      <c r="G206" s="115" t="s">
        <v>37</v>
      </c>
      <c r="H206" s="115" t="s">
        <v>38</v>
      </c>
      <c r="I206" s="115" t="s">
        <v>15</v>
      </c>
      <c r="J206" s="115" t="s">
        <v>214</v>
      </c>
      <c r="K206" s="115" t="s">
        <v>39</v>
      </c>
      <c r="L206" s="115" t="s">
        <v>2</v>
      </c>
    </row>
    <row r="207" spans="1:12" ht="15" customHeight="1">
      <c r="A207" s="806"/>
      <c r="B207" s="806"/>
      <c r="C207" s="792"/>
      <c r="D207" s="15">
        <v>1</v>
      </c>
      <c r="E207" s="22"/>
      <c r="F207" s="77">
        <v>1</v>
      </c>
      <c r="G207" s="77"/>
      <c r="H207" s="22">
        <v>1</v>
      </c>
      <c r="I207" s="222" t="s">
        <v>31</v>
      </c>
      <c r="J207" s="222" t="s">
        <v>31</v>
      </c>
      <c r="K207" s="78">
        <v>1997</v>
      </c>
      <c r="L207" s="22" t="s">
        <v>490</v>
      </c>
    </row>
    <row r="208" spans="1:12" s="136" customFormat="1" ht="15" customHeight="1">
      <c r="A208" s="1163" t="s">
        <v>316</v>
      </c>
      <c r="B208" s="1088"/>
      <c r="C208" s="107"/>
      <c r="D208" s="107">
        <f>SUM(D207)</f>
        <v>1</v>
      </c>
      <c r="E208" s="107"/>
      <c r="F208" s="120">
        <f>SUM(F207)</f>
        <v>1</v>
      </c>
      <c r="G208" s="107"/>
      <c r="H208" s="107">
        <f>SUM(H207)</f>
        <v>1</v>
      </c>
      <c r="I208" s="107"/>
      <c r="J208" s="107"/>
      <c r="K208" s="107"/>
      <c r="L208" s="107"/>
    </row>
    <row r="209" spans="1:12" s="367" customFormat="1" ht="15" customHeight="1">
      <c r="A209" s="806"/>
      <c r="B209" s="806"/>
      <c r="C209" s="792"/>
      <c r="D209" s="22">
        <v>1</v>
      </c>
      <c r="E209" s="77">
        <v>1</v>
      </c>
      <c r="F209" s="253"/>
      <c r="G209" s="22"/>
      <c r="H209" s="234">
        <v>1</v>
      </c>
      <c r="I209" s="22" t="s">
        <v>427</v>
      </c>
      <c r="J209" s="234" t="s">
        <v>427</v>
      </c>
      <c r="K209" s="78">
        <v>1998</v>
      </c>
      <c r="L209" s="22" t="s">
        <v>492</v>
      </c>
    </row>
    <row r="210" spans="1:12" s="489" customFormat="1" ht="15" customHeight="1">
      <c r="A210" s="811"/>
      <c r="B210" s="888"/>
      <c r="C210" s="840"/>
      <c r="D210" s="105">
        <v>1</v>
      </c>
      <c r="E210" s="279">
        <v>1</v>
      </c>
      <c r="F210" s="488"/>
      <c r="G210" s="279">
        <v>1</v>
      </c>
      <c r="H210" s="285"/>
      <c r="I210" s="22" t="s">
        <v>212</v>
      </c>
      <c r="J210" s="234" t="s">
        <v>212</v>
      </c>
      <c r="K210" s="425">
        <v>2001</v>
      </c>
      <c r="L210" s="22" t="s">
        <v>492</v>
      </c>
    </row>
    <row r="211" spans="1:12" s="53" customFormat="1" ht="15" customHeight="1">
      <c r="A211" s="791"/>
      <c r="B211" s="872"/>
      <c r="C211" s="873"/>
      <c r="D211" s="21">
        <v>1</v>
      </c>
      <c r="E211" s="21">
        <v>1</v>
      </c>
      <c r="F211" s="21"/>
      <c r="G211" s="21"/>
      <c r="H211" s="21">
        <v>1</v>
      </c>
      <c r="I211" s="21" t="s">
        <v>212</v>
      </c>
      <c r="J211" s="21" t="s">
        <v>18</v>
      </c>
      <c r="K211" s="21">
        <v>1997</v>
      </c>
      <c r="L211" s="22" t="s">
        <v>492</v>
      </c>
    </row>
    <row r="212" spans="1:12" s="490" customFormat="1" ht="15" customHeight="1">
      <c r="A212" s="806"/>
      <c r="B212" s="806"/>
      <c r="C212" s="792"/>
      <c r="D212" s="22">
        <v>1</v>
      </c>
      <c r="E212" s="77">
        <v>1</v>
      </c>
      <c r="F212" s="487"/>
      <c r="G212" s="21">
        <v>1</v>
      </c>
      <c r="H212" s="22"/>
      <c r="I212" s="234" t="s">
        <v>212</v>
      </c>
      <c r="J212" s="222" t="s">
        <v>385</v>
      </c>
      <c r="K212" s="15">
        <v>1999</v>
      </c>
      <c r="L212" s="22" t="s">
        <v>492</v>
      </c>
    </row>
    <row r="213" spans="1:12" s="53" customFormat="1" ht="15" customHeight="1">
      <c r="A213" s="806"/>
      <c r="B213" s="806"/>
      <c r="C213" s="792"/>
      <c r="D213" s="21">
        <v>1</v>
      </c>
      <c r="E213" s="21">
        <v>1</v>
      </c>
      <c r="F213" s="21"/>
      <c r="G213" s="21">
        <v>1</v>
      </c>
      <c r="H213" s="21"/>
      <c r="I213" s="234" t="s">
        <v>212</v>
      </c>
      <c r="J213" s="222" t="s">
        <v>1</v>
      </c>
      <c r="K213" s="78">
        <v>2003</v>
      </c>
      <c r="L213" s="22" t="s">
        <v>492</v>
      </c>
    </row>
    <row r="214" spans="1:12" s="53" customFormat="1" ht="15" customHeight="1">
      <c r="A214" s="806"/>
      <c r="B214" s="806"/>
      <c r="C214" s="792"/>
      <c r="D214" s="21">
        <v>1</v>
      </c>
      <c r="E214" s="21"/>
      <c r="F214" s="21">
        <v>1</v>
      </c>
      <c r="G214" s="21">
        <v>1</v>
      </c>
      <c r="H214" s="21"/>
      <c r="I214" s="234" t="s">
        <v>212</v>
      </c>
      <c r="J214" s="222" t="s">
        <v>212</v>
      </c>
      <c r="K214" s="78">
        <v>2003</v>
      </c>
      <c r="L214" s="22" t="s">
        <v>492</v>
      </c>
    </row>
    <row r="215" spans="1:12" s="53" customFormat="1" ht="15" customHeight="1">
      <c r="A215" s="791"/>
      <c r="B215" s="872"/>
      <c r="C215" s="873"/>
      <c r="D215" s="21">
        <v>1</v>
      </c>
      <c r="E215" s="21"/>
      <c r="F215" s="21">
        <v>1</v>
      </c>
      <c r="G215" s="21">
        <v>1</v>
      </c>
      <c r="H215" s="21"/>
      <c r="I215" s="234" t="s">
        <v>212</v>
      </c>
      <c r="J215" s="222" t="s">
        <v>212</v>
      </c>
      <c r="K215" s="21">
        <v>2002</v>
      </c>
      <c r="L215" s="22" t="s">
        <v>492</v>
      </c>
    </row>
    <row r="216" spans="1:12" s="53" customFormat="1" ht="15" customHeight="1">
      <c r="A216" s="806"/>
      <c r="B216" s="806"/>
      <c r="C216" s="792"/>
      <c r="D216" s="21">
        <v>1</v>
      </c>
      <c r="E216" s="21">
        <v>1</v>
      </c>
      <c r="F216" s="21"/>
      <c r="G216" s="21">
        <v>1</v>
      </c>
      <c r="H216" s="21"/>
      <c r="I216" s="247" t="s">
        <v>212</v>
      </c>
      <c r="J216" s="22" t="s">
        <v>212</v>
      </c>
      <c r="K216" s="78">
        <v>1996</v>
      </c>
      <c r="L216" s="22" t="s">
        <v>492</v>
      </c>
    </row>
    <row r="217" spans="1:12" s="53" customFormat="1" ht="15" customHeight="1">
      <c r="A217" s="806"/>
      <c r="B217" s="806"/>
      <c r="C217" s="792"/>
      <c r="D217" s="21">
        <v>1</v>
      </c>
      <c r="E217" s="22">
        <v>1</v>
      </c>
      <c r="F217" s="77"/>
      <c r="G217" s="77">
        <v>1</v>
      </c>
      <c r="H217" s="22"/>
      <c r="I217" s="247" t="s">
        <v>212</v>
      </c>
      <c r="J217" s="417" t="s">
        <v>115</v>
      </c>
      <c r="K217" s="78">
        <v>2001</v>
      </c>
      <c r="L217" s="22" t="s">
        <v>492</v>
      </c>
    </row>
    <row r="218" spans="1:12" s="53" customFormat="1" ht="15" customHeight="1">
      <c r="A218" s="806"/>
      <c r="B218" s="806"/>
      <c r="C218" s="792"/>
      <c r="D218" s="21">
        <v>1</v>
      </c>
      <c r="E218" s="22">
        <v>1</v>
      </c>
      <c r="F218" s="77"/>
      <c r="G218" s="77">
        <v>1</v>
      </c>
      <c r="H218" s="22"/>
      <c r="I218" s="247" t="s">
        <v>212</v>
      </c>
      <c r="J218" s="417" t="s">
        <v>115</v>
      </c>
      <c r="K218" s="78">
        <v>2002</v>
      </c>
      <c r="L218" s="22" t="s">
        <v>492</v>
      </c>
    </row>
    <row r="219" spans="1:12" s="53" customFormat="1" ht="15" customHeight="1">
      <c r="A219" s="806"/>
      <c r="B219" s="807"/>
      <c r="C219" s="792"/>
      <c r="D219" s="21">
        <v>1</v>
      </c>
      <c r="E219" s="22"/>
      <c r="F219" s="77">
        <v>1</v>
      </c>
      <c r="G219" s="77">
        <v>1</v>
      </c>
      <c r="H219" s="22"/>
      <c r="I219" s="22" t="s">
        <v>212</v>
      </c>
      <c r="J219" s="276" t="s">
        <v>212</v>
      </c>
      <c r="K219" s="78">
        <v>2001</v>
      </c>
      <c r="L219" s="22" t="s">
        <v>492</v>
      </c>
    </row>
    <row r="220" spans="1:12" s="53" customFormat="1" ht="15" customHeight="1">
      <c r="A220" s="811"/>
      <c r="B220" s="806"/>
      <c r="C220" s="792"/>
      <c r="D220" s="21">
        <v>1</v>
      </c>
      <c r="E220" s="22">
        <v>1</v>
      </c>
      <c r="F220" s="77"/>
      <c r="G220" s="77">
        <v>1</v>
      </c>
      <c r="H220" s="22"/>
      <c r="I220" s="22" t="s">
        <v>212</v>
      </c>
      <c r="J220" s="276" t="s">
        <v>212</v>
      </c>
      <c r="K220" s="21">
        <v>1997</v>
      </c>
      <c r="L220" s="22" t="s">
        <v>492</v>
      </c>
    </row>
    <row r="221" spans="1:12" s="53" customFormat="1" ht="15" customHeight="1">
      <c r="A221" s="811"/>
      <c r="B221" s="888"/>
      <c r="C221" s="792"/>
      <c r="D221" s="21">
        <v>1</v>
      </c>
      <c r="E221" s="22">
        <v>1</v>
      </c>
      <c r="F221" s="77"/>
      <c r="G221" s="77">
        <v>1</v>
      </c>
      <c r="H221" s="22"/>
      <c r="I221" s="22" t="s">
        <v>212</v>
      </c>
      <c r="J221" s="276" t="s">
        <v>212</v>
      </c>
      <c r="K221" s="21">
        <v>1998</v>
      </c>
      <c r="L221" s="22" t="s">
        <v>492</v>
      </c>
    </row>
    <row r="222" spans="1:12" s="136" customFormat="1" ht="15" customHeight="1">
      <c r="A222" s="1154" t="s">
        <v>317</v>
      </c>
      <c r="B222" s="1155"/>
      <c r="C222" s="107"/>
      <c r="D222" s="107">
        <f>SUM(D209:D221)</f>
        <v>13</v>
      </c>
      <c r="E222" s="107">
        <f>SUM(E209:E221)</f>
        <v>10</v>
      </c>
      <c r="F222" s="107">
        <f>SUM(F209:F221)</f>
        <v>3</v>
      </c>
      <c r="G222" s="107">
        <f>SUM(G209:G221)</f>
        <v>11</v>
      </c>
      <c r="H222" s="107">
        <f>SUM(H209:H221)</f>
        <v>2</v>
      </c>
      <c r="I222" s="100"/>
      <c r="J222" s="100"/>
      <c r="K222" s="100"/>
      <c r="L222" s="100"/>
    </row>
    <row r="223" spans="1:12" s="53" customFormat="1" ht="15" customHeight="1">
      <c r="A223" s="791"/>
      <c r="B223" s="791"/>
      <c r="C223" s="873"/>
      <c r="D223" s="21">
        <v>1</v>
      </c>
      <c r="E223" s="21">
        <v>1</v>
      </c>
      <c r="F223" s="21"/>
      <c r="G223" s="21">
        <v>1</v>
      </c>
      <c r="H223" s="21"/>
      <c r="I223" s="22" t="s">
        <v>212</v>
      </c>
      <c r="J223" s="276" t="s">
        <v>212</v>
      </c>
      <c r="K223" s="21">
        <v>2009</v>
      </c>
      <c r="L223" s="22" t="s">
        <v>494</v>
      </c>
    </row>
    <row r="224" spans="1:12" s="53" customFormat="1" ht="15" customHeight="1">
      <c r="A224" s="791"/>
      <c r="B224" s="872"/>
      <c r="C224" s="873"/>
      <c r="D224" s="21">
        <v>1</v>
      </c>
      <c r="E224" s="21">
        <v>1</v>
      </c>
      <c r="F224" s="21"/>
      <c r="G224" s="21">
        <v>1</v>
      </c>
      <c r="H224" s="21"/>
      <c r="I224" s="22" t="s">
        <v>212</v>
      </c>
      <c r="J224" s="276" t="s">
        <v>212</v>
      </c>
      <c r="K224" s="21">
        <v>1998</v>
      </c>
      <c r="L224" s="22" t="s">
        <v>494</v>
      </c>
    </row>
    <row r="225" spans="1:12" s="53" customFormat="1" ht="15" customHeight="1">
      <c r="A225" s="791"/>
      <c r="B225" s="872"/>
      <c r="C225" s="873"/>
      <c r="D225" s="21">
        <v>1</v>
      </c>
      <c r="E225" s="21">
        <v>1</v>
      </c>
      <c r="F225" s="21"/>
      <c r="G225" s="21">
        <v>1</v>
      </c>
      <c r="H225" s="21"/>
      <c r="I225" s="22" t="s">
        <v>212</v>
      </c>
      <c r="J225" s="222" t="s">
        <v>115</v>
      </c>
      <c r="K225" s="21">
        <v>1996</v>
      </c>
      <c r="L225" s="22" t="s">
        <v>494</v>
      </c>
    </row>
    <row r="226" spans="1:12" s="53" customFormat="1" ht="15" customHeight="1">
      <c r="A226" s="791"/>
      <c r="B226" s="872"/>
      <c r="C226" s="873"/>
      <c r="D226" s="21">
        <v>1</v>
      </c>
      <c r="E226" s="21"/>
      <c r="F226" s="21">
        <v>1</v>
      </c>
      <c r="G226" s="21"/>
      <c r="H226" s="21">
        <v>1</v>
      </c>
      <c r="I226" s="21" t="s">
        <v>327</v>
      </c>
      <c r="J226" s="21" t="s">
        <v>327</v>
      </c>
      <c r="K226" s="21">
        <v>1995</v>
      </c>
      <c r="L226" s="22" t="s">
        <v>494</v>
      </c>
    </row>
    <row r="227" spans="1:12" s="53" customFormat="1" ht="15" customHeight="1">
      <c r="A227" s="791"/>
      <c r="B227" s="872"/>
      <c r="C227" s="873"/>
      <c r="D227" s="21">
        <v>1</v>
      </c>
      <c r="E227" s="21">
        <v>1</v>
      </c>
      <c r="F227" s="21"/>
      <c r="G227" s="21"/>
      <c r="H227" s="21">
        <v>1</v>
      </c>
      <c r="I227" s="21" t="s">
        <v>212</v>
      </c>
      <c r="J227" s="21" t="s">
        <v>18</v>
      </c>
      <c r="K227" s="21">
        <v>2003</v>
      </c>
      <c r="L227" s="22" t="s">
        <v>494</v>
      </c>
    </row>
    <row r="228" spans="1:12" s="53" customFormat="1" ht="15" customHeight="1">
      <c r="A228" s="806"/>
      <c r="B228" s="806"/>
      <c r="C228" s="792"/>
      <c r="D228" s="21">
        <v>1</v>
      </c>
      <c r="E228" s="21"/>
      <c r="F228" s="21">
        <v>1</v>
      </c>
      <c r="G228" s="21">
        <v>1</v>
      </c>
      <c r="H228" s="21"/>
      <c r="I228" s="247" t="s">
        <v>212</v>
      </c>
      <c r="J228" s="222" t="s">
        <v>138</v>
      </c>
      <c r="K228" s="78">
        <v>2000</v>
      </c>
      <c r="L228" s="22" t="s">
        <v>494</v>
      </c>
    </row>
    <row r="229" spans="1:12" s="53" customFormat="1" ht="15" customHeight="1">
      <c r="A229" s="791"/>
      <c r="B229" s="872"/>
      <c r="C229" s="873"/>
      <c r="D229" s="21">
        <v>1</v>
      </c>
      <c r="E229" s="21"/>
      <c r="F229" s="21">
        <v>1</v>
      </c>
      <c r="G229" s="21">
        <v>1</v>
      </c>
      <c r="H229" s="21"/>
      <c r="I229" s="22" t="s">
        <v>212</v>
      </c>
      <c r="J229" s="276" t="s">
        <v>212</v>
      </c>
      <c r="K229" s="21">
        <v>1999</v>
      </c>
      <c r="L229" s="22" t="s">
        <v>494</v>
      </c>
    </row>
    <row r="230" spans="1:12" s="53" customFormat="1" ht="15" customHeight="1">
      <c r="A230" s="791"/>
      <c r="B230" s="872"/>
      <c r="C230" s="873"/>
      <c r="D230" s="21">
        <v>1</v>
      </c>
      <c r="E230" s="21">
        <v>1</v>
      </c>
      <c r="F230" s="21"/>
      <c r="G230" s="21">
        <v>1</v>
      </c>
      <c r="H230" s="21"/>
      <c r="I230" s="22" t="s">
        <v>212</v>
      </c>
      <c r="J230" s="276" t="s">
        <v>212</v>
      </c>
      <c r="K230" s="21">
        <v>1996</v>
      </c>
      <c r="L230" s="22" t="s">
        <v>494</v>
      </c>
    </row>
    <row r="231" spans="1:12" s="53" customFormat="1" ht="15" customHeight="1">
      <c r="A231" s="791"/>
      <c r="B231" s="872"/>
      <c r="C231" s="873"/>
      <c r="D231" s="21">
        <v>1</v>
      </c>
      <c r="E231" s="21"/>
      <c r="F231" s="21">
        <v>1</v>
      </c>
      <c r="G231" s="21">
        <v>1</v>
      </c>
      <c r="H231" s="21"/>
      <c r="I231" s="22" t="s">
        <v>212</v>
      </c>
      <c r="J231" s="276" t="s">
        <v>212</v>
      </c>
      <c r="K231" s="21">
        <v>2000</v>
      </c>
      <c r="L231" s="22" t="s">
        <v>494</v>
      </c>
    </row>
    <row r="232" spans="1:12" s="136" customFormat="1" ht="15" customHeight="1">
      <c r="A232" s="1073" t="s">
        <v>318</v>
      </c>
      <c r="B232" s="1156"/>
      <c r="C232" s="107"/>
      <c r="D232" s="107">
        <f>SUM(D223:D231)</f>
        <v>9</v>
      </c>
      <c r="E232" s="107">
        <f>SUM(E223:E231)</f>
        <v>5</v>
      </c>
      <c r="F232" s="107">
        <f>SUM(F223:F231)</f>
        <v>4</v>
      </c>
      <c r="G232" s="107">
        <f>SUM(G223:G231)</f>
        <v>7</v>
      </c>
      <c r="H232" s="107">
        <f>SUM(H223:H231)</f>
        <v>2</v>
      </c>
      <c r="I232" s="107"/>
      <c r="J232" s="107"/>
      <c r="K232" s="107"/>
      <c r="L232" s="107"/>
    </row>
    <row r="233" spans="1:12" s="137" customFormat="1" ht="15" customHeight="1">
      <c r="A233" s="791"/>
      <c r="B233" s="791"/>
      <c r="C233" s="790"/>
      <c r="D233" s="22">
        <v>1</v>
      </c>
      <c r="E233" s="22"/>
      <c r="F233" s="22">
        <v>1</v>
      </c>
      <c r="G233" s="22">
        <v>1</v>
      </c>
      <c r="H233" s="22"/>
      <c r="I233" s="22" t="s">
        <v>212</v>
      </c>
      <c r="J233" s="276" t="s">
        <v>212</v>
      </c>
      <c r="K233" s="22">
        <v>1995</v>
      </c>
      <c r="L233" s="22" t="s">
        <v>491</v>
      </c>
    </row>
    <row r="234" spans="1:12" s="136" customFormat="1" ht="15" customHeight="1">
      <c r="A234" s="1073" t="s">
        <v>319</v>
      </c>
      <c r="B234" s="1156"/>
      <c r="C234" s="107"/>
      <c r="D234" s="107">
        <f>SUM(D233)</f>
        <v>1</v>
      </c>
      <c r="E234" s="107">
        <v>0</v>
      </c>
      <c r="F234" s="107">
        <f>SUM(F233)</f>
        <v>1</v>
      </c>
      <c r="G234" s="107">
        <f>SUM(G233)</f>
        <v>1</v>
      </c>
      <c r="H234" s="107">
        <v>0</v>
      </c>
      <c r="I234" s="107"/>
      <c r="J234" s="107"/>
      <c r="K234" s="107"/>
      <c r="L234" s="107"/>
    </row>
    <row r="235" spans="1:12" s="64" customFormat="1" ht="15" customHeight="1">
      <c r="A235" s="1058" t="s">
        <v>341</v>
      </c>
      <c r="B235" s="1059"/>
      <c r="C235" s="108"/>
      <c r="D235" s="108">
        <f>D208+D222+D232+D234</f>
        <v>24</v>
      </c>
      <c r="E235" s="108">
        <f>E208+E222+E232+E234</f>
        <v>15</v>
      </c>
      <c r="F235" s="108">
        <f>F208+F222+F232+F234</f>
        <v>9</v>
      </c>
      <c r="G235" s="108">
        <f>G208+G222+G232+G234</f>
        <v>19</v>
      </c>
      <c r="H235" s="108">
        <f>H208+H222+H232+H234</f>
        <v>5</v>
      </c>
      <c r="I235" s="108"/>
      <c r="J235" s="108"/>
      <c r="K235" s="108"/>
      <c r="L235" s="109"/>
    </row>
    <row r="236" spans="1:12" s="51" customFormat="1" ht="15" customHeight="1">
      <c r="A236" s="1083" t="s">
        <v>71</v>
      </c>
      <c r="B236" s="1084"/>
      <c r="C236" s="19"/>
      <c r="D236" s="19"/>
      <c r="E236" s="19"/>
      <c r="F236" s="19"/>
      <c r="G236" s="19"/>
      <c r="H236" s="19"/>
      <c r="I236" s="19"/>
      <c r="J236" s="19"/>
      <c r="K236" s="19"/>
      <c r="L236" s="39"/>
    </row>
    <row r="237" spans="1:12" s="50" customFormat="1" ht="55.5" customHeight="1">
      <c r="A237" s="39" t="s">
        <v>332</v>
      </c>
      <c r="B237" s="39" t="s">
        <v>333</v>
      </c>
      <c r="C237" s="39" t="s">
        <v>213</v>
      </c>
      <c r="D237" s="115" t="s">
        <v>36</v>
      </c>
      <c r="E237" s="115" t="s">
        <v>73</v>
      </c>
      <c r="F237" s="115" t="s">
        <v>74</v>
      </c>
      <c r="G237" s="115" t="s">
        <v>37</v>
      </c>
      <c r="H237" s="115" t="s">
        <v>38</v>
      </c>
      <c r="I237" s="115" t="s">
        <v>15</v>
      </c>
      <c r="J237" s="115" t="s">
        <v>214</v>
      </c>
      <c r="K237" s="115" t="s">
        <v>39</v>
      </c>
      <c r="L237" s="115" t="s">
        <v>2</v>
      </c>
    </row>
    <row r="238" spans="1:12" s="53" customFormat="1" ht="15" customHeight="1">
      <c r="A238" s="791"/>
      <c r="B238" s="791"/>
      <c r="C238" s="792"/>
      <c r="D238" s="21">
        <v>1</v>
      </c>
      <c r="E238" s="21">
        <v>1</v>
      </c>
      <c r="F238" s="21"/>
      <c r="G238" s="21">
        <v>1</v>
      </c>
      <c r="H238" s="21"/>
      <c r="I238" s="33" t="s">
        <v>212</v>
      </c>
      <c r="J238" s="222" t="s">
        <v>212</v>
      </c>
      <c r="K238" s="15">
        <v>1997</v>
      </c>
      <c r="L238" s="22" t="s">
        <v>492</v>
      </c>
    </row>
    <row r="239" spans="1:12" s="53" customFormat="1" ht="15" customHeight="1">
      <c r="A239" s="806"/>
      <c r="B239" s="806"/>
      <c r="C239" s="792"/>
      <c r="D239" s="21">
        <v>1</v>
      </c>
      <c r="E239" s="21"/>
      <c r="F239" s="21">
        <v>1</v>
      </c>
      <c r="G239" s="21">
        <v>1</v>
      </c>
      <c r="H239" s="21"/>
      <c r="I239" s="33" t="s">
        <v>212</v>
      </c>
      <c r="J239" s="222" t="s">
        <v>212</v>
      </c>
      <c r="K239" s="15">
        <v>1998</v>
      </c>
      <c r="L239" s="22" t="s">
        <v>492</v>
      </c>
    </row>
    <row r="240" spans="1:12" s="53" customFormat="1" ht="15" customHeight="1">
      <c r="A240" s="791"/>
      <c r="B240" s="872"/>
      <c r="C240" s="792"/>
      <c r="D240" s="21">
        <v>1</v>
      </c>
      <c r="E240" s="21"/>
      <c r="F240" s="21">
        <v>1</v>
      </c>
      <c r="G240" s="21"/>
      <c r="H240" s="21">
        <v>1</v>
      </c>
      <c r="I240" s="33" t="s">
        <v>18</v>
      </c>
      <c r="J240" s="222" t="s">
        <v>18</v>
      </c>
      <c r="K240" s="15">
        <v>2006</v>
      </c>
      <c r="L240" s="22" t="s">
        <v>492</v>
      </c>
    </row>
    <row r="241" spans="1:12" s="53" customFormat="1" ht="15" customHeight="1">
      <c r="A241" s="791"/>
      <c r="B241" s="872"/>
      <c r="C241" s="873"/>
      <c r="D241" s="21">
        <v>1</v>
      </c>
      <c r="E241" s="21"/>
      <c r="F241" s="21">
        <v>1</v>
      </c>
      <c r="G241" s="21"/>
      <c r="H241" s="21">
        <v>1</v>
      </c>
      <c r="I241" s="22" t="s">
        <v>212</v>
      </c>
      <c r="J241" s="22" t="s">
        <v>212</v>
      </c>
      <c r="K241" s="21">
        <v>2000</v>
      </c>
      <c r="L241" s="22" t="s">
        <v>492</v>
      </c>
    </row>
    <row r="242" spans="1:12" s="136" customFormat="1" ht="15" customHeight="1">
      <c r="A242" s="1073" t="s">
        <v>320</v>
      </c>
      <c r="B242" s="1156"/>
      <c r="C242" s="107"/>
      <c r="D242" s="107">
        <f>SUM(D238:D241)</f>
        <v>4</v>
      </c>
      <c r="E242" s="107">
        <f>SUM(E238:E241)</f>
        <v>1</v>
      </c>
      <c r="F242" s="107">
        <f>SUM(F238:F241)</f>
        <v>3</v>
      </c>
      <c r="G242" s="107">
        <f>SUM(G238:G241)</f>
        <v>2</v>
      </c>
      <c r="H242" s="107">
        <f>SUM(H238:H241)</f>
        <v>2</v>
      </c>
      <c r="I242" s="107"/>
      <c r="J242" s="107"/>
      <c r="K242" s="107"/>
      <c r="L242" s="107"/>
    </row>
    <row r="243" spans="1:12" s="53" customFormat="1" ht="15" customHeight="1">
      <c r="A243" s="791"/>
      <c r="B243" s="872"/>
      <c r="C243" s="873"/>
      <c r="D243" s="21">
        <v>1</v>
      </c>
      <c r="E243" s="21"/>
      <c r="F243" s="21">
        <v>1</v>
      </c>
      <c r="G243" s="21">
        <v>1</v>
      </c>
      <c r="H243" s="21"/>
      <c r="I243" s="33" t="s">
        <v>212</v>
      </c>
      <c r="J243" s="33" t="s">
        <v>212</v>
      </c>
      <c r="K243" s="21">
        <v>1996</v>
      </c>
      <c r="L243" s="22" t="s">
        <v>494</v>
      </c>
    </row>
    <row r="244" spans="1:12" s="53" customFormat="1" ht="15" customHeight="1">
      <c r="A244" s="867"/>
      <c r="B244" s="791"/>
      <c r="C244" s="819"/>
      <c r="D244" s="21">
        <v>1</v>
      </c>
      <c r="E244" s="21">
        <v>1</v>
      </c>
      <c r="F244" s="21"/>
      <c r="G244" s="21">
        <v>1</v>
      </c>
      <c r="H244" s="21"/>
      <c r="I244" s="33" t="s">
        <v>212</v>
      </c>
      <c r="J244" s="33" t="s">
        <v>212</v>
      </c>
      <c r="K244" s="15">
        <v>1999</v>
      </c>
      <c r="L244" s="22" t="s">
        <v>494</v>
      </c>
    </row>
    <row r="245" spans="1:12" s="53" customFormat="1" ht="15" customHeight="1">
      <c r="A245" s="791"/>
      <c r="B245" s="872"/>
      <c r="C245" s="873"/>
      <c r="D245" s="21">
        <v>1</v>
      </c>
      <c r="E245" s="21">
        <v>1</v>
      </c>
      <c r="F245" s="21"/>
      <c r="G245" s="21">
        <v>1</v>
      </c>
      <c r="H245" s="21"/>
      <c r="I245" s="33" t="s">
        <v>212</v>
      </c>
      <c r="J245" s="33" t="s">
        <v>212</v>
      </c>
      <c r="K245" s="21">
        <v>2001</v>
      </c>
      <c r="L245" s="22" t="s">
        <v>494</v>
      </c>
    </row>
    <row r="246" spans="1:12" s="53" customFormat="1" ht="15" customHeight="1">
      <c r="A246" s="791"/>
      <c r="B246" s="791"/>
      <c r="C246" s="873"/>
      <c r="D246" s="21">
        <v>1</v>
      </c>
      <c r="E246" s="21"/>
      <c r="F246" s="21">
        <v>1</v>
      </c>
      <c r="G246" s="21">
        <v>1</v>
      </c>
      <c r="H246" s="21"/>
      <c r="I246" s="33" t="s">
        <v>212</v>
      </c>
      <c r="J246" s="33" t="s">
        <v>212</v>
      </c>
      <c r="K246" s="21">
        <v>2005</v>
      </c>
      <c r="L246" s="22" t="s">
        <v>494</v>
      </c>
    </row>
    <row r="247" spans="1:12" s="111" customFormat="1" ht="15" customHeight="1">
      <c r="A247" s="870"/>
      <c r="B247" s="889"/>
      <c r="C247" s="792"/>
      <c r="D247" s="13">
        <v>1</v>
      </c>
      <c r="E247" s="305"/>
      <c r="F247" s="22">
        <v>1</v>
      </c>
      <c r="G247" s="22">
        <v>1</v>
      </c>
      <c r="H247" s="22"/>
      <c r="I247" s="33" t="s">
        <v>212</v>
      </c>
      <c r="J247" s="222" t="s">
        <v>212</v>
      </c>
      <c r="K247" s="22">
        <v>2000</v>
      </c>
      <c r="L247" s="22" t="s">
        <v>494</v>
      </c>
    </row>
    <row r="248" spans="1:12" s="136" customFormat="1" ht="15" customHeight="1">
      <c r="A248" s="1052" t="s">
        <v>321</v>
      </c>
      <c r="B248" s="1052"/>
      <c r="C248" s="107"/>
      <c r="D248" s="107">
        <f>SUM(D243:D247)</f>
        <v>5</v>
      </c>
      <c r="E248" s="107">
        <f>SUM(E243:E247)</f>
        <v>2</v>
      </c>
      <c r="F248" s="107">
        <f>SUM(F243:F247)</f>
        <v>3</v>
      </c>
      <c r="G248" s="107">
        <f>SUM(G243:G247)</f>
        <v>5</v>
      </c>
      <c r="H248" s="107">
        <f>SUM(H243:H247)</f>
        <v>0</v>
      </c>
      <c r="I248" s="107"/>
      <c r="J248" s="107"/>
      <c r="K248" s="107"/>
      <c r="L248" s="107"/>
    </row>
    <row r="249" spans="1:12" s="53" customFormat="1" ht="15" customHeight="1">
      <c r="A249" s="1073" t="s">
        <v>22</v>
      </c>
      <c r="B249" s="1156"/>
      <c r="C249" s="83"/>
      <c r="D249" s="83">
        <f>D242+D248</f>
        <v>9</v>
      </c>
      <c r="E249" s="83">
        <f>E242+E248</f>
        <v>3</v>
      </c>
      <c r="F249" s="83">
        <f>F242+F248</f>
        <v>6</v>
      </c>
      <c r="G249" s="83">
        <f>G242+G248</f>
        <v>7</v>
      </c>
      <c r="H249" s="83">
        <f>H242+H248</f>
        <v>2</v>
      </c>
      <c r="I249" s="83"/>
      <c r="J249" s="83"/>
      <c r="K249" s="83"/>
      <c r="L249" s="107"/>
    </row>
    <row r="250" spans="1:12" s="51" customFormat="1" ht="15" customHeight="1">
      <c r="A250" s="1083" t="s">
        <v>72</v>
      </c>
      <c r="B250" s="1084"/>
      <c r="C250" s="19"/>
      <c r="D250" s="19"/>
      <c r="E250" s="19"/>
      <c r="F250" s="19"/>
      <c r="G250" s="19"/>
      <c r="H250" s="19"/>
      <c r="I250" s="19"/>
      <c r="J250" s="19"/>
      <c r="K250" s="19"/>
      <c r="L250" s="39"/>
    </row>
    <row r="251" spans="1:12" s="53" customFormat="1" ht="15" customHeight="1">
      <c r="A251" s="791"/>
      <c r="B251" s="872"/>
      <c r="C251" s="873"/>
      <c r="D251" s="21">
        <v>1</v>
      </c>
      <c r="E251" s="21">
        <v>1</v>
      </c>
      <c r="F251" s="21"/>
      <c r="G251" s="21"/>
      <c r="H251" s="21">
        <v>1</v>
      </c>
      <c r="I251" s="21" t="s">
        <v>488</v>
      </c>
      <c r="J251" s="21" t="s">
        <v>488</v>
      </c>
      <c r="K251" s="21">
        <v>1995</v>
      </c>
      <c r="L251" s="22" t="s">
        <v>490</v>
      </c>
    </row>
    <row r="252" spans="1:12" s="136" customFormat="1" ht="15" customHeight="1">
      <c r="A252" s="1073" t="s">
        <v>322</v>
      </c>
      <c r="B252" s="1156"/>
      <c r="C252" s="107"/>
      <c r="D252" s="107">
        <f>SUM(D251)</f>
        <v>1</v>
      </c>
      <c r="E252" s="107">
        <f>SUM(E251)</f>
        <v>1</v>
      </c>
      <c r="F252" s="107"/>
      <c r="G252" s="107"/>
      <c r="H252" s="107">
        <f>SUM(H251)</f>
        <v>1</v>
      </c>
      <c r="I252" s="107"/>
      <c r="J252" s="107"/>
      <c r="K252" s="107"/>
      <c r="L252" s="107"/>
    </row>
    <row r="253" spans="1:12" s="53" customFormat="1" ht="15" customHeight="1">
      <c r="A253" s="791"/>
      <c r="B253" s="872"/>
      <c r="C253" s="873"/>
      <c r="D253" s="21">
        <v>1</v>
      </c>
      <c r="E253" s="21">
        <v>1</v>
      </c>
      <c r="F253" s="21"/>
      <c r="G253" s="21">
        <v>1</v>
      </c>
      <c r="H253" s="21"/>
      <c r="I253" s="33" t="s">
        <v>212</v>
      </c>
      <c r="J253" s="33" t="s">
        <v>212</v>
      </c>
      <c r="K253" s="21">
        <v>1999</v>
      </c>
      <c r="L253" s="22" t="s">
        <v>493</v>
      </c>
    </row>
    <row r="254" spans="1:12" s="53" customFormat="1" ht="15" customHeight="1">
      <c r="A254" s="791"/>
      <c r="B254" s="872"/>
      <c r="C254" s="873"/>
      <c r="D254" s="21">
        <v>1</v>
      </c>
      <c r="E254" s="21">
        <v>1</v>
      </c>
      <c r="F254" s="21"/>
      <c r="G254" s="21">
        <v>1</v>
      </c>
      <c r="H254" s="21"/>
      <c r="I254" s="33" t="s">
        <v>212</v>
      </c>
      <c r="J254" s="33" t="s">
        <v>212</v>
      </c>
      <c r="K254" s="21">
        <v>1994</v>
      </c>
      <c r="L254" s="22" t="s">
        <v>492</v>
      </c>
    </row>
    <row r="255" spans="1:12" s="53" customFormat="1" ht="15" customHeight="1">
      <c r="A255" s="806"/>
      <c r="B255" s="806"/>
      <c r="C255" s="792"/>
      <c r="D255" s="21">
        <v>1</v>
      </c>
      <c r="E255" s="21"/>
      <c r="F255" s="21">
        <v>1</v>
      </c>
      <c r="G255" s="21">
        <v>1</v>
      </c>
      <c r="H255" s="21"/>
      <c r="I255" s="33" t="s">
        <v>212</v>
      </c>
      <c r="J255" s="33" t="s">
        <v>212</v>
      </c>
      <c r="K255" s="21">
        <v>1998</v>
      </c>
      <c r="L255" s="22" t="s">
        <v>492</v>
      </c>
    </row>
    <row r="256" spans="1:12" s="53" customFormat="1" ht="15" customHeight="1">
      <c r="A256" s="791"/>
      <c r="B256" s="872"/>
      <c r="C256" s="792"/>
      <c r="D256" s="21">
        <v>1</v>
      </c>
      <c r="E256" s="21"/>
      <c r="F256" s="21">
        <v>1</v>
      </c>
      <c r="G256" s="21">
        <v>1</v>
      </c>
      <c r="H256" s="21"/>
      <c r="I256" s="234" t="s">
        <v>212</v>
      </c>
      <c r="J256" s="222" t="s">
        <v>115</v>
      </c>
      <c r="K256" s="15">
        <v>2001</v>
      </c>
      <c r="L256" s="22" t="s">
        <v>492</v>
      </c>
    </row>
    <row r="257" spans="1:12" s="53" customFormat="1" ht="15" customHeight="1">
      <c r="A257" s="890"/>
      <c r="B257" s="891"/>
      <c r="C257" s="838"/>
      <c r="D257" s="1">
        <v>1</v>
      </c>
      <c r="E257" s="22"/>
      <c r="F257" s="22">
        <v>1</v>
      </c>
      <c r="G257" s="22">
        <v>1</v>
      </c>
      <c r="H257" s="305"/>
      <c r="I257" s="22" t="s">
        <v>212</v>
      </c>
      <c r="J257" s="22" t="s">
        <v>212</v>
      </c>
      <c r="K257" s="453">
        <v>2010</v>
      </c>
      <c r="L257" s="22" t="s">
        <v>492</v>
      </c>
    </row>
    <row r="258" spans="1:12" s="53" customFormat="1" ht="15" customHeight="1">
      <c r="A258" s="890"/>
      <c r="B258" s="892"/>
      <c r="C258" s="893"/>
      <c r="D258" s="1">
        <v>1</v>
      </c>
      <c r="E258" s="22">
        <v>1</v>
      </c>
      <c r="F258" s="335"/>
      <c r="G258" s="22">
        <v>1</v>
      </c>
      <c r="H258" s="305"/>
      <c r="I258" s="22" t="s">
        <v>212</v>
      </c>
      <c r="J258" s="22" t="s">
        <v>212</v>
      </c>
      <c r="K258" s="453">
        <v>2006</v>
      </c>
      <c r="L258" s="22" t="s">
        <v>492</v>
      </c>
    </row>
    <row r="259" spans="1:12" s="53" customFormat="1" ht="15" customHeight="1">
      <c r="A259" s="894"/>
      <c r="B259" s="837"/>
      <c r="C259" s="895"/>
      <c r="D259" s="1">
        <v>1</v>
      </c>
      <c r="E259" s="22"/>
      <c r="F259" s="22">
        <v>1</v>
      </c>
      <c r="G259" s="22">
        <v>1</v>
      </c>
      <c r="H259" s="305"/>
      <c r="I259" s="22" t="s">
        <v>212</v>
      </c>
      <c r="J259" s="222" t="s">
        <v>212</v>
      </c>
      <c r="K259" s="476">
        <v>2008</v>
      </c>
      <c r="L259" s="22" t="s">
        <v>492</v>
      </c>
    </row>
    <row r="260" spans="1:12" s="53" customFormat="1" ht="15" customHeight="1">
      <c r="A260" s="791"/>
      <c r="B260" s="791"/>
      <c r="C260" s="792"/>
      <c r="D260" s="13">
        <v>1</v>
      </c>
      <c r="E260" s="22"/>
      <c r="F260" s="22">
        <v>1</v>
      </c>
      <c r="G260" s="22">
        <v>1</v>
      </c>
      <c r="H260" s="22"/>
      <c r="I260" s="22" t="s">
        <v>212</v>
      </c>
      <c r="J260" s="276" t="s">
        <v>212</v>
      </c>
      <c r="K260" s="15">
        <v>1996</v>
      </c>
      <c r="L260" s="22" t="s">
        <v>492</v>
      </c>
    </row>
    <row r="261" spans="1:12" s="53" customFormat="1" ht="15" customHeight="1">
      <c r="A261" s="894"/>
      <c r="B261" s="837"/>
      <c r="C261" s="893"/>
      <c r="D261" s="309">
        <v>1</v>
      </c>
      <c r="E261" s="224"/>
      <c r="F261" s="22">
        <v>1</v>
      </c>
      <c r="G261" s="224">
        <v>1</v>
      </c>
      <c r="H261" s="306"/>
      <c r="I261" s="22" t="s">
        <v>212</v>
      </c>
      <c r="J261" s="276" t="s">
        <v>212</v>
      </c>
      <c r="K261" s="21">
        <v>1994</v>
      </c>
      <c r="L261" s="22" t="s">
        <v>492</v>
      </c>
    </row>
    <row r="262" spans="1:12" s="53" customFormat="1" ht="15" customHeight="1">
      <c r="A262" s="806"/>
      <c r="B262" s="806"/>
      <c r="C262" s="792"/>
      <c r="D262" s="21">
        <v>1</v>
      </c>
      <c r="E262" s="22"/>
      <c r="F262" s="22">
        <v>1</v>
      </c>
      <c r="G262" s="22">
        <v>1</v>
      </c>
      <c r="H262" s="22"/>
      <c r="I262" s="234" t="s">
        <v>16</v>
      </c>
      <c r="J262" s="222" t="s">
        <v>155</v>
      </c>
      <c r="K262" s="15">
        <v>1999</v>
      </c>
      <c r="L262" s="22" t="s">
        <v>492</v>
      </c>
    </row>
    <row r="263" spans="1:12" s="53" customFormat="1" ht="15" customHeight="1">
      <c r="A263" s="894"/>
      <c r="B263" s="837"/>
      <c r="C263" s="893"/>
      <c r="D263" s="21">
        <v>1</v>
      </c>
      <c r="E263" s="22"/>
      <c r="F263" s="22">
        <v>1</v>
      </c>
      <c r="G263" s="22"/>
      <c r="H263" s="22">
        <v>1</v>
      </c>
      <c r="I263" s="385" t="s">
        <v>212</v>
      </c>
      <c r="J263" s="477" t="s">
        <v>20</v>
      </c>
      <c r="K263" s="22">
        <v>2009</v>
      </c>
      <c r="L263" s="22" t="s">
        <v>492</v>
      </c>
    </row>
    <row r="264" spans="1:12" s="53" customFormat="1" ht="15" customHeight="1">
      <c r="A264" s="890"/>
      <c r="B264" s="896"/>
      <c r="C264" s="838"/>
      <c r="D264" s="346">
        <v>1</v>
      </c>
      <c r="E264" s="22">
        <v>1</v>
      </c>
      <c r="F264" s="306"/>
      <c r="G264" s="22">
        <v>1</v>
      </c>
      <c r="H264" s="22"/>
      <c r="I264" s="1" t="s">
        <v>118</v>
      </c>
      <c r="J264" s="305" t="s">
        <v>150</v>
      </c>
      <c r="K264" s="247">
        <v>1996</v>
      </c>
      <c r="L264" s="22" t="s">
        <v>492</v>
      </c>
    </row>
    <row r="265" spans="1:12" s="53" customFormat="1" ht="15" customHeight="1">
      <c r="A265" s="806"/>
      <c r="B265" s="806"/>
      <c r="C265" s="792"/>
      <c r="D265" s="21">
        <v>1</v>
      </c>
      <c r="E265" s="21"/>
      <c r="F265" s="21">
        <v>1</v>
      </c>
      <c r="G265" s="21">
        <v>1</v>
      </c>
      <c r="H265" s="21"/>
      <c r="I265" s="222" t="s">
        <v>212</v>
      </c>
      <c r="J265" s="222" t="s">
        <v>212</v>
      </c>
      <c r="K265" s="15">
        <v>2002</v>
      </c>
      <c r="L265" s="22" t="s">
        <v>492</v>
      </c>
    </row>
    <row r="266" spans="1:12" s="53" customFormat="1" ht="15" customHeight="1">
      <c r="A266" s="806"/>
      <c r="B266" s="806"/>
      <c r="C266" s="792"/>
      <c r="D266" s="21">
        <v>1</v>
      </c>
      <c r="E266" s="22">
        <v>1</v>
      </c>
      <c r="F266" s="22"/>
      <c r="G266" s="22">
        <v>1</v>
      </c>
      <c r="H266" s="22"/>
      <c r="I266" s="222" t="s">
        <v>212</v>
      </c>
      <c r="J266" s="222" t="s">
        <v>507</v>
      </c>
      <c r="K266" s="15">
        <v>2006</v>
      </c>
      <c r="L266" s="22" t="s">
        <v>492</v>
      </c>
    </row>
    <row r="267" spans="1:12" s="53" customFormat="1" ht="15" customHeight="1">
      <c r="A267" s="791"/>
      <c r="B267" s="872"/>
      <c r="C267" s="873"/>
      <c r="D267" s="21">
        <v>1</v>
      </c>
      <c r="E267" s="21">
        <v>1</v>
      </c>
      <c r="F267" s="21"/>
      <c r="G267" s="21">
        <v>1</v>
      </c>
      <c r="H267" s="21"/>
      <c r="I267" s="22" t="s">
        <v>212</v>
      </c>
      <c r="J267" s="276" t="s">
        <v>212</v>
      </c>
      <c r="K267" s="21">
        <v>1999</v>
      </c>
      <c r="L267" s="22" t="s">
        <v>492</v>
      </c>
    </row>
    <row r="268" spans="1:12" s="53" customFormat="1" ht="15" customHeight="1">
      <c r="A268" s="791"/>
      <c r="B268" s="872"/>
      <c r="C268" s="873"/>
      <c r="D268" s="21">
        <v>1</v>
      </c>
      <c r="E268" s="21"/>
      <c r="F268" s="21">
        <v>1</v>
      </c>
      <c r="G268" s="21">
        <v>1</v>
      </c>
      <c r="H268" s="21"/>
      <c r="I268" s="22" t="s">
        <v>212</v>
      </c>
      <c r="J268" s="276" t="s">
        <v>212</v>
      </c>
      <c r="K268" s="21">
        <v>1995</v>
      </c>
      <c r="L268" s="22" t="s">
        <v>492</v>
      </c>
    </row>
    <row r="269" spans="1:12" s="53" customFormat="1" ht="15" customHeight="1">
      <c r="A269" s="791"/>
      <c r="B269" s="872"/>
      <c r="C269" s="873"/>
      <c r="D269" s="21">
        <v>1</v>
      </c>
      <c r="E269" s="21"/>
      <c r="F269" s="21">
        <v>1</v>
      </c>
      <c r="G269" s="21">
        <v>1</v>
      </c>
      <c r="H269" s="21"/>
      <c r="I269" s="22" t="s">
        <v>212</v>
      </c>
      <c r="J269" s="276" t="s">
        <v>212</v>
      </c>
      <c r="K269" s="21">
        <v>2003</v>
      </c>
      <c r="L269" s="22" t="s">
        <v>492</v>
      </c>
    </row>
    <row r="270" spans="1:12" s="53" customFormat="1" ht="15" customHeight="1">
      <c r="A270" s="806"/>
      <c r="B270" s="806"/>
      <c r="C270" s="792"/>
      <c r="D270" s="21">
        <v>1</v>
      </c>
      <c r="E270" s="22"/>
      <c r="F270" s="22">
        <v>1</v>
      </c>
      <c r="G270" s="22">
        <v>1</v>
      </c>
      <c r="H270" s="22"/>
      <c r="I270" s="222" t="s">
        <v>212</v>
      </c>
      <c r="J270" s="222" t="s">
        <v>212</v>
      </c>
      <c r="K270" s="15">
        <v>2003</v>
      </c>
      <c r="L270" s="22" t="s">
        <v>492</v>
      </c>
    </row>
    <row r="271" spans="1:12" s="53" customFormat="1" ht="15" customHeight="1">
      <c r="A271" s="806"/>
      <c r="B271" s="806"/>
      <c r="C271" s="792"/>
      <c r="D271" s="21">
        <v>1</v>
      </c>
      <c r="E271" s="22">
        <v>1</v>
      </c>
      <c r="F271" s="22"/>
      <c r="G271" s="22">
        <v>1</v>
      </c>
      <c r="H271" s="22"/>
      <c r="I271" s="222" t="s">
        <v>212</v>
      </c>
      <c r="J271" s="222" t="s">
        <v>212</v>
      </c>
      <c r="K271" s="15">
        <v>1999</v>
      </c>
      <c r="L271" s="22" t="s">
        <v>492</v>
      </c>
    </row>
    <row r="272" spans="1:12" s="53" customFormat="1" ht="15" customHeight="1">
      <c r="A272" s="806"/>
      <c r="B272" s="806"/>
      <c r="C272" s="792"/>
      <c r="D272" s="21">
        <v>1</v>
      </c>
      <c r="E272" s="22"/>
      <c r="F272" s="22">
        <v>1</v>
      </c>
      <c r="G272" s="22">
        <v>1</v>
      </c>
      <c r="H272" s="22"/>
      <c r="I272" s="222" t="s">
        <v>212</v>
      </c>
      <c r="J272" s="222" t="s">
        <v>212</v>
      </c>
      <c r="K272" s="21">
        <v>1997</v>
      </c>
      <c r="L272" s="22" t="s">
        <v>492</v>
      </c>
    </row>
    <row r="273" spans="1:12" s="80" customFormat="1" ht="15" customHeight="1">
      <c r="A273" s="806"/>
      <c r="B273" s="806"/>
      <c r="C273" s="792"/>
      <c r="D273" s="22">
        <v>1</v>
      </c>
      <c r="E273" s="22"/>
      <c r="F273" s="22">
        <v>1</v>
      </c>
      <c r="G273" s="22">
        <v>1</v>
      </c>
      <c r="H273" s="22"/>
      <c r="I273" s="222" t="s">
        <v>212</v>
      </c>
      <c r="J273" s="222" t="s">
        <v>336</v>
      </c>
      <c r="K273" s="15">
        <v>1994</v>
      </c>
      <c r="L273" s="22" t="s">
        <v>492</v>
      </c>
    </row>
    <row r="274" spans="1:12" s="53" customFormat="1" ht="15" customHeight="1">
      <c r="A274" s="791"/>
      <c r="B274" s="872"/>
      <c r="C274" s="873"/>
      <c r="D274" s="21">
        <v>1</v>
      </c>
      <c r="E274" s="21"/>
      <c r="F274" s="21">
        <v>1</v>
      </c>
      <c r="G274" s="21">
        <v>1</v>
      </c>
      <c r="H274" s="21"/>
      <c r="I274" s="21" t="s">
        <v>212</v>
      </c>
      <c r="J274" s="21" t="s">
        <v>33</v>
      </c>
      <c r="K274" s="21">
        <v>1998</v>
      </c>
      <c r="L274" s="22" t="s">
        <v>492</v>
      </c>
    </row>
    <row r="275" spans="1:12" s="53" customFormat="1" ht="15" customHeight="1">
      <c r="A275" s="791"/>
      <c r="B275" s="872"/>
      <c r="C275" s="873"/>
      <c r="D275" s="21">
        <v>1</v>
      </c>
      <c r="E275" s="21"/>
      <c r="F275" s="21">
        <v>1</v>
      </c>
      <c r="G275" s="21">
        <v>1</v>
      </c>
      <c r="H275" s="21"/>
      <c r="I275" s="222" t="s">
        <v>212</v>
      </c>
      <c r="J275" s="222" t="s">
        <v>212</v>
      </c>
      <c r="K275" s="21">
        <v>1996</v>
      </c>
      <c r="L275" s="22" t="s">
        <v>492</v>
      </c>
    </row>
    <row r="276" spans="1:12" s="53" customFormat="1" ht="15" customHeight="1">
      <c r="A276" s="791"/>
      <c r="B276" s="872"/>
      <c r="C276" s="873"/>
      <c r="D276" s="21">
        <v>1</v>
      </c>
      <c r="E276" s="21"/>
      <c r="F276" s="21">
        <v>1</v>
      </c>
      <c r="G276" s="21"/>
      <c r="H276" s="21">
        <v>1</v>
      </c>
      <c r="I276" s="222" t="s">
        <v>212</v>
      </c>
      <c r="J276" s="21" t="s">
        <v>18</v>
      </c>
      <c r="K276" s="21">
        <v>2005</v>
      </c>
      <c r="L276" s="22" t="s">
        <v>492</v>
      </c>
    </row>
    <row r="277" spans="1:12" s="53" customFormat="1" ht="15" customHeight="1">
      <c r="A277" s="791"/>
      <c r="B277" s="872"/>
      <c r="C277" s="873"/>
      <c r="D277" s="21">
        <v>1</v>
      </c>
      <c r="E277" s="21">
        <v>1</v>
      </c>
      <c r="F277" s="21"/>
      <c r="G277" s="21"/>
      <c r="H277" s="21">
        <v>1</v>
      </c>
      <c r="I277" s="21" t="s">
        <v>18</v>
      </c>
      <c r="J277" s="21" t="s">
        <v>18</v>
      </c>
      <c r="K277" s="21">
        <v>2000</v>
      </c>
      <c r="L277" s="22" t="s">
        <v>492</v>
      </c>
    </row>
    <row r="278" spans="1:12" s="53" customFormat="1" ht="15" customHeight="1">
      <c r="A278" s="791"/>
      <c r="B278" s="791"/>
      <c r="C278" s="873"/>
      <c r="D278" s="21">
        <v>1</v>
      </c>
      <c r="E278" s="21">
        <v>1</v>
      </c>
      <c r="F278" s="21"/>
      <c r="G278" s="21">
        <v>1</v>
      </c>
      <c r="H278" s="21"/>
      <c r="I278" s="234" t="s">
        <v>212</v>
      </c>
      <c r="J278" s="222" t="s">
        <v>134</v>
      </c>
      <c r="K278" s="15">
        <v>2007</v>
      </c>
      <c r="L278" s="22" t="s">
        <v>492</v>
      </c>
    </row>
    <row r="279" spans="1:12" ht="15" customHeight="1">
      <c r="A279" s="791"/>
      <c r="B279" s="791"/>
      <c r="C279" s="792"/>
      <c r="D279" s="69">
        <v>1</v>
      </c>
      <c r="E279" s="22"/>
      <c r="F279" s="22">
        <v>1</v>
      </c>
      <c r="G279" s="22"/>
      <c r="H279" s="22">
        <v>1</v>
      </c>
      <c r="I279" s="22" t="s">
        <v>18</v>
      </c>
      <c r="J279" s="222" t="s">
        <v>18</v>
      </c>
      <c r="K279" s="69">
        <v>2003</v>
      </c>
      <c r="L279" s="22" t="s">
        <v>492</v>
      </c>
    </row>
    <row r="280" spans="1:12" s="53" customFormat="1" ht="15" customHeight="1">
      <c r="A280" s="791"/>
      <c r="B280" s="872"/>
      <c r="C280" s="873"/>
      <c r="D280" s="21">
        <v>1</v>
      </c>
      <c r="E280" s="21"/>
      <c r="F280" s="21">
        <v>1</v>
      </c>
      <c r="G280" s="21"/>
      <c r="H280" s="21">
        <v>1</v>
      </c>
      <c r="I280" s="21" t="s">
        <v>212</v>
      </c>
      <c r="J280" s="21" t="s">
        <v>18</v>
      </c>
      <c r="K280" s="21">
        <v>2001</v>
      </c>
      <c r="L280" s="22" t="s">
        <v>492</v>
      </c>
    </row>
    <row r="281" spans="1:12" s="136" customFormat="1" ht="15" customHeight="1">
      <c r="A281" s="1073" t="s">
        <v>323</v>
      </c>
      <c r="B281" s="1156"/>
      <c r="C281" s="107"/>
      <c r="D281" s="107">
        <f>SUM(D253:D280)</f>
        <v>28</v>
      </c>
      <c r="E281" s="107">
        <f>SUM(E253:E280)</f>
        <v>9</v>
      </c>
      <c r="F281" s="107">
        <f>SUM(F253:F280)</f>
        <v>19</v>
      </c>
      <c r="G281" s="107">
        <f>SUM(G253:G280)</f>
        <v>23</v>
      </c>
      <c r="H281" s="107">
        <f>SUM(H253:H280)</f>
        <v>5</v>
      </c>
      <c r="I281" s="107"/>
      <c r="J281" s="107"/>
      <c r="K281" s="107"/>
      <c r="L281" s="107"/>
    </row>
    <row r="282" spans="1:12" s="137" customFormat="1" ht="15.75" customHeight="1">
      <c r="A282" s="791"/>
      <c r="B282" s="806"/>
      <c r="C282" s="873"/>
      <c r="D282" s="14">
        <v>1</v>
      </c>
      <c r="E282" s="14">
        <v>1</v>
      </c>
      <c r="F282" s="14"/>
      <c r="G282" s="14">
        <v>1</v>
      </c>
      <c r="H282" s="347"/>
      <c r="I282" s="22" t="s">
        <v>212</v>
      </c>
      <c r="J282" s="276" t="s">
        <v>212</v>
      </c>
      <c r="K282" s="22">
        <v>2002</v>
      </c>
      <c r="L282" s="22" t="s">
        <v>494</v>
      </c>
    </row>
    <row r="283" spans="1:12" s="137" customFormat="1" ht="15" customHeight="1">
      <c r="A283" s="791"/>
      <c r="B283" s="791"/>
      <c r="C283" s="790"/>
      <c r="D283" s="22">
        <v>1</v>
      </c>
      <c r="E283" s="22">
        <v>1</v>
      </c>
      <c r="F283" s="22"/>
      <c r="G283" s="22">
        <v>1</v>
      </c>
      <c r="H283" s="22"/>
      <c r="I283" s="22" t="s">
        <v>212</v>
      </c>
      <c r="J283" s="276" t="s">
        <v>212</v>
      </c>
      <c r="K283" s="22">
        <v>1999</v>
      </c>
      <c r="L283" s="22" t="s">
        <v>494</v>
      </c>
    </row>
    <row r="284" spans="1:12" s="53" customFormat="1" ht="15" customHeight="1">
      <c r="A284" s="791"/>
      <c r="B284" s="872"/>
      <c r="C284" s="873"/>
      <c r="D284" s="21">
        <v>1</v>
      </c>
      <c r="E284" s="21"/>
      <c r="F284" s="21">
        <v>1</v>
      </c>
      <c r="G284" s="21">
        <v>1</v>
      </c>
      <c r="H284" s="21"/>
      <c r="I284" s="22" t="s">
        <v>212</v>
      </c>
      <c r="J284" s="276" t="s">
        <v>212</v>
      </c>
      <c r="K284" s="21">
        <v>1998</v>
      </c>
      <c r="L284" s="22" t="s">
        <v>494</v>
      </c>
    </row>
    <row r="285" spans="1:12" s="53" customFormat="1" ht="15" customHeight="1">
      <c r="A285" s="791"/>
      <c r="B285" s="872"/>
      <c r="C285" s="873"/>
      <c r="D285" s="21">
        <v>1</v>
      </c>
      <c r="E285" s="21"/>
      <c r="F285" s="21">
        <v>1</v>
      </c>
      <c r="G285" s="21"/>
      <c r="H285" s="21">
        <v>1</v>
      </c>
      <c r="I285" s="247" t="s">
        <v>343</v>
      </c>
      <c r="J285" s="247" t="s">
        <v>343</v>
      </c>
      <c r="K285" s="21">
        <v>2001</v>
      </c>
      <c r="L285" s="22" t="s">
        <v>494</v>
      </c>
    </row>
    <row r="286" spans="1:12" s="80" customFormat="1" ht="15" customHeight="1">
      <c r="A286" s="791"/>
      <c r="B286" s="791"/>
      <c r="C286" s="792"/>
      <c r="D286" s="22">
        <v>1</v>
      </c>
      <c r="E286" s="22"/>
      <c r="F286" s="22">
        <v>1</v>
      </c>
      <c r="G286" s="22"/>
      <c r="H286" s="22">
        <v>1</v>
      </c>
      <c r="I286" s="247" t="s">
        <v>343</v>
      </c>
      <c r="J286" s="247" t="s">
        <v>343</v>
      </c>
      <c r="K286" s="22">
        <v>1995</v>
      </c>
      <c r="L286" s="22" t="s">
        <v>494</v>
      </c>
    </row>
    <row r="287" spans="1:12" s="53" customFormat="1" ht="15" customHeight="1">
      <c r="A287" s="791"/>
      <c r="B287" s="872"/>
      <c r="C287" s="873"/>
      <c r="D287" s="21">
        <v>1</v>
      </c>
      <c r="E287" s="21">
        <v>1</v>
      </c>
      <c r="F287" s="21"/>
      <c r="G287" s="21">
        <v>1</v>
      </c>
      <c r="H287" s="21"/>
      <c r="I287" s="21" t="s">
        <v>212</v>
      </c>
      <c r="J287" s="21" t="s">
        <v>77</v>
      </c>
      <c r="K287" s="21">
        <v>2009</v>
      </c>
      <c r="L287" s="22" t="s">
        <v>494</v>
      </c>
    </row>
    <row r="288" spans="1:12" s="53" customFormat="1" ht="15" customHeight="1">
      <c r="A288" s="791"/>
      <c r="B288" s="872"/>
      <c r="C288" s="873"/>
      <c r="D288" s="21">
        <v>1</v>
      </c>
      <c r="E288" s="21">
        <v>1</v>
      </c>
      <c r="F288" s="21"/>
      <c r="G288" s="21">
        <v>1</v>
      </c>
      <c r="H288" s="21"/>
      <c r="I288" s="22" t="s">
        <v>212</v>
      </c>
      <c r="J288" s="276" t="s">
        <v>212</v>
      </c>
      <c r="K288" s="21">
        <v>2001</v>
      </c>
      <c r="L288" s="22" t="s">
        <v>494</v>
      </c>
    </row>
    <row r="289" spans="1:12" s="53" customFormat="1" ht="15" customHeight="1">
      <c r="A289" s="791"/>
      <c r="B289" s="872"/>
      <c r="C289" s="873"/>
      <c r="D289" s="21">
        <v>1</v>
      </c>
      <c r="E289" s="21"/>
      <c r="F289" s="21">
        <v>1</v>
      </c>
      <c r="G289" s="21">
        <v>1</v>
      </c>
      <c r="H289" s="21"/>
      <c r="I289" s="22" t="s">
        <v>212</v>
      </c>
      <c r="J289" s="276" t="s">
        <v>212</v>
      </c>
      <c r="K289" s="21">
        <v>2000</v>
      </c>
      <c r="L289" s="22" t="s">
        <v>494</v>
      </c>
    </row>
    <row r="290" spans="1:12" s="53" customFormat="1" ht="15" customHeight="1">
      <c r="A290" s="791"/>
      <c r="B290" s="872"/>
      <c r="C290" s="873"/>
      <c r="D290" s="21">
        <v>1</v>
      </c>
      <c r="E290" s="21">
        <v>1</v>
      </c>
      <c r="F290" s="21"/>
      <c r="G290" s="21">
        <v>1</v>
      </c>
      <c r="H290" s="21"/>
      <c r="I290" s="22" t="s">
        <v>212</v>
      </c>
      <c r="J290" s="276" t="s">
        <v>212</v>
      </c>
      <c r="K290" s="21">
        <v>2000</v>
      </c>
      <c r="L290" s="22" t="s">
        <v>494</v>
      </c>
    </row>
    <row r="291" spans="1:12" s="53" customFormat="1" ht="15" customHeight="1">
      <c r="A291" s="791"/>
      <c r="B291" s="872"/>
      <c r="C291" s="873"/>
      <c r="D291" s="21">
        <v>1</v>
      </c>
      <c r="E291" s="21"/>
      <c r="F291" s="21">
        <v>1</v>
      </c>
      <c r="G291" s="21">
        <v>1</v>
      </c>
      <c r="H291" s="21"/>
      <c r="I291" s="22" t="s">
        <v>212</v>
      </c>
      <c r="J291" s="276" t="s">
        <v>212</v>
      </c>
      <c r="K291" s="21">
        <v>2002</v>
      </c>
      <c r="L291" s="22" t="s">
        <v>494</v>
      </c>
    </row>
    <row r="292" spans="1:12" s="136" customFormat="1" ht="15" customHeight="1">
      <c r="A292" s="1073" t="s">
        <v>324</v>
      </c>
      <c r="B292" s="1156"/>
      <c r="C292" s="107"/>
      <c r="D292" s="107">
        <f>SUM(D282:D291)</f>
        <v>10</v>
      </c>
      <c r="E292" s="107">
        <f>SUM(E282:E291)</f>
        <v>5</v>
      </c>
      <c r="F292" s="107">
        <f>SUM(F282:F291)</f>
        <v>5</v>
      </c>
      <c r="G292" s="107">
        <f>SUM(G282:G291)</f>
        <v>8</v>
      </c>
      <c r="H292" s="107">
        <f>SUM(H282:H291)</f>
        <v>2</v>
      </c>
      <c r="I292" s="107"/>
      <c r="J292" s="107"/>
      <c r="K292" s="107"/>
      <c r="L292" s="107"/>
    </row>
    <row r="293" spans="1:12" s="53" customFormat="1" ht="15" customHeight="1">
      <c r="A293" s="1073" t="s">
        <v>328</v>
      </c>
      <c r="B293" s="1156"/>
      <c r="C293" s="83"/>
      <c r="D293" s="83">
        <f>D292+D281+D252</f>
        <v>39</v>
      </c>
      <c r="E293" s="83">
        <f>E292+E281+E252</f>
        <v>15</v>
      </c>
      <c r="F293" s="83">
        <f>F292+F281+F252</f>
        <v>24</v>
      </c>
      <c r="G293" s="83">
        <f>G292+G281+G252</f>
        <v>31</v>
      </c>
      <c r="H293" s="83">
        <f>H292+H281+H252</f>
        <v>8</v>
      </c>
      <c r="I293" s="83"/>
      <c r="J293" s="83"/>
      <c r="K293" s="83"/>
      <c r="L293" s="107"/>
    </row>
    <row r="294" spans="1:12" ht="15" customHeight="1">
      <c r="A294" s="1085" t="s">
        <v>86</v>
      </c>
      <c r="B294" s="1086"/>
      <c r="C294" s="100"/>
      <c r="D294" s="101">
        <f>D293+D249+D235+D204+D191+D174+D139+D114+D42</f>
        <v>238</v>
      </c>
      <c r="E294" s="101">
        <f>E293+E249+E235+E204+E191+E174+E139+E114+E42</f>
        <v>121</v>
      </c>
      <c r="F294" s="101">
        <f>F293+F249+F235+F204+F191+F174+F139+F114+F42</f>
        <v>117</v>
      </c>
      <c r="G294" s="101">
        <f>G293+G249+G235+G204+G191+G174+G139+G114+G42</f>
        <v>152</v>
      </c>
      <c r="H294" s="101">
        <f>H293+H249+H235+H204+H191+H174+H139+H114+H42</f>
        <v>86</v>
      </c>
      <c r="I294" s="100"/>
      <c r="J294" s="100"/>
      <c r="K294" s="100"/>
      <c r="L294" s="100"/>
    </row>
  </sheetData>
  <mergeCells count="47">
    <mergeCell ref="A292:B292"/>
    <mergeCell ref="A293:B293"/>
    <mergeCell ref="A250:B250"/>
    <mergeCell ref="A294:B294"/>
    <mergeCell ref="A252:B252"/>
    <mergeCell ref="A236:B236"/>
    <mergeCell ref="A248:B248"/>
    <mergeCell ref="A249:B249"/>
    <mergeCell ref="A281:B281"/>
    <mergeCell ref="A232:B232"/>
    <mergeCell ref="A208:B208"/>
    <mergeCell ref="A234:B234"/>
    <mergeCell ref="A235:B235"/>
    <mergeCell ref="A205:B205"/>
    <mergeCell ref="A203:B203"/>
    <mergeCell ref="A204:B204"/>
    <mergeCell ref="A222:B222"/>
    <mergeCell ref="A182:B182"/>
    <mergeCell ref="A190:B190"/>
    <mergeCell ref="A191:B191"/>
    <mergeCell ref="A195:B195"/>
    <mergeCell ref="A192:B192"/>
    <mergeCell ref="A139:B139"/>
    <mergeCell ref="A140:B140"/>
    <mergeCell ref="A175:B175"/>
    <mergeCell ref="A147:B147"/>
    <mergeCell ref="A164:B164"/>
    <mergeCell ref="A173:B173"/>
    <mergeCell ref="A174:B174"/>
    <mergeCell ref="A118:B118"/>
    <mergeCell ref="A125:B125"/>
    <mergeCell ref="A115:B115"/>
    <mergeCell ref="A138:B138"/>
    <mergeCell ref="A53:B53"/>
    <mergeCell ref="A90:B90"/>
    <mergeCell ref="A113:B113"/>
    <mergeCell ref="A114:B114"/>
    <mergeCell ref="A200:B200"/>
    <mergeCell ref="A242:B242"/>
    <mergeCell ref="A2:L2"/>
    <mergeCell ref="A1:L1"/>
    <mergeCell ref="A3:B3"/>
    <mergeCell ref="A41:B41"/>
    <mergeCell ref="A42:B42"/>
    <mergeCell ref="A9:B9"/>
    <mergeCell ref="A31:B31"/>
    <mergeCell ref="A43:B4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7"/>
  </sheetPr>
  <dimension ref="A1:R229"/>
  <sheetViews>
    <sheetView workbookViewId="0" topLeftCell="A88">
      <selection activeCell="R100" sqref="R100"/>
    </sheetView>
  </sheetViews>
  <sheetFormatPr defaultColWidth="9.140625" defaultRowHeight="12.75"/>
  <cols>
    <col min="1" max="1" width="20.7109375" style="4" customWidth="1"/>
    <col min="2" max="2" width="20.7109375" style="3" customWidth="1"/>
    <col min="3" max="3" width="20.7109375" style="4" customWidth="1"/>
    <col min="4" max="4" width="7.57421875" style="3" customWidth="1"/>
    <col min="5" max="5" width="5.7109375" style="303" customWidth="1"/>
    <col min="6" max="6" width="5.7109375" style="3" customWidth="1"/>
    <col min="7" max="8" width="9.7109375" style="3" customWidth="1"/>
    <col min="9" max="9" width="15.57421875" style="3" customWidth="1"/>
    <col min="10" max="10" width="13.7109375" style="3" customWidth="1"/>
    <col min="11" max="11" width="19.140625" style="3" customWidth="1"/>
    <col min="12" max="12" width="10.28125" style="3" customWidth="1"/>
    <col min="13" max="13" width="26.421875" style="9" customWidth="1"/>
    <col min="14" max="15" width="18.7109375" style="210" customWidth="1"/>
    <col min="16" max="16" width="30.140625" style="212" customWidth="1"/>
    <col min="17" max="17" width="16.8515625" style="9" customWidth="1"/>
    <col min="18" max="18" width="20.00390625" style="9" customWidth="1"/>
    <col min="19" max="16384" width="11.57421875" style="9" customWidth="1"/>
  </cols>
  <sheetData>
    <row r="1" spans="1:16" s="5" customFormat="1" ht="30" customHeight="1">
      <c r="A1" s="1123" t="s">
        <v>510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4"/>
      <c r="P1" s="611" t="s">
        <v>511</v>
      </c>
    </row>
    <row r="2" spans="1:16" s="6" customFormat="1" ht="48.75" customHeight="1">
      <c r="A2" s="1044" t="s">
        <v>117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125"/>
      <c r="N2" s="1125"/>
      <c r="O2" s="1125"/>
      <c r="P2" s="1125"/>
    </row>
    <row r="3" spans="1:16" s="4" customFormat="1" ht="15" customHeight="1">
      <c r="A3" s="1027" t="s">
        <v>66</v>
      </c>
      <c r="B3" s="1027"/>
      <c r="C3" s="87"/>
      <c r="D3" s="87"/>
      <c r="E3" s="300"/>
      <c r="F3" s="87"/>
      <c r="G3" s="87"/>
      <c r="H3" s="87"/>
      <c r="I3" s="87"/>
      <c r="J3" s="87"/>
      <c r="K3" s="87"/>
      <c r="L3" s="87"/>
      <c r="M3" s="593"/>
      <c r="N3" s="67"/>
      <c r="O3" s="196"/>
      <c r="P3" s="211"/>
    </row>
    <row r="4" spans="1:16" s="50" customFormat="1" ht="55.5" customHeight="1">
      <c r="A4" s="39" t="s">
        <v>332</v>
      </c>
      <c r="B4" s="39" t="s">
        <v>333</v>
      </c>
      <c r="C4" s="39" t="s">
        <v>213</v>
      </c>
      <c r="D4" s="115" t="s">
        <v>36</v>
      </c>
      <c r="E4" s="115" t="s">
        <v>73</v>
      </c>
      <c r="F4" s="115" t="s">
        <v>74</v>
      </c>
      <c r="G4" s="115" t="s">
        <v>37</v>
      </c>
      <c r="H4" s="115" t="s">
        <v>38</v>
      </c>
      <c r="I4" s="115" t="s">
        <v>417</v>
      </c>
      <c r="J4" s="115" t="s">
        <v>15</v>
      </c>
      <c r="K4" s="115" t="s">
        <v>214</v>
      </c>
      <c r="L4" s="115" t="s">
        <v>39</v>
      </c>
      <c r="M4" s="115" t="s">
        <v>76</v>
      </c>
      <c r="N4" s="360" t="s">
        <v>508</v>
      </c>
      <c r="O4" s="607" t="s">
        <v>509</v>
      </c>
      <c r="P4" s="595" t="s">
        <v>58</v>
      </c>
    </row>
    <row r="5" spans="1:16" s="421" customFormat="1" ht="15" customHeight="1">
      <c r="A5" s="788"/>
      <c r="B5" s="788"/>
      <c r="C5" s="790"/>
      <c r="D5" s="7">
        <v>1</v>
      </c>
      <c r="E5" s="380"/>
      <c r="F5" s="380">
        <v>1</v>
      </c>
      <c r="G5" s="380"/>
      <c r="H5" s="380">
        <v>1</v>
      </c>
      <c r="I5" s="471" t="s">
        <v>459</v>
      </c>
      <c r="J5" s="469" t="s">
        <v>212</v>
      </c>
      <c r="K5" s="469" t="s">
        <v>18</v>
      </c>
      <c r="L5" s="380">
        <v>1996</v>
      </c>
      <c r="M5" s="790"/>
      <c r="N5" s="145">
        <v>14789.52</v>
      </c>
      <c r="O5" s="368">
        <v>0</v>
      </c>
      <c r="P5" s="368">
        <f>N5+O5</f>
        <v>14789.52</v>
      </c>
    </row>
    <row r="6" spans="1:16" s="278" customFormat="1" ht="15" customHeight="1">
      <c r="A6" s="786"/>
      <c r="B6" s="786"/>
      <c r="C6" s="790"/>
      <c r="D6" s="7">
        <v>1</v>
      </c>
      <c r="E6" s="7"/>
      <c r="F6" s="7">
        <v>1</v>
      </c>
      <c r="G6" s="7"/>
      <c r="H6" s="7">
        <v>1</v>
      </c>
      <c r="I6" s="469" t="s">
        <v>351</v>
      </c>
      <c r="J6" s="469" t="s">
        <v>326</v>
      </c>
      <c r="K6" s="1"/>
      <c r="L6" s="7">
        <v>1978</v>
      </c>
      <c r="M6" s="1175"/>
      <c r="N6" s="1104">
        <v>21194.77</v>
      </c>
      <c r="O6" s="1104">
        <v>0</v>
      </c>
      <c r="P6" s="1104">
        <f>N6+O6</f>
        <v>21194.77</v>
      </c>
    </row>
    <row r="7" spans="1:16" s="278" customFormat="1" ht="15" customHeight="1">
      <c r="A7" s="786"/>
      <c r="B7" s="786"/>
      <c r="C7" s="790"/>
      <c r="D7" s="7">
        <v>1</v>
      </c>
      <c r="E7" s="380">
        <v>1</v>
      </c>
      <c r="F7" s="380"/>
      <c r="G7" s="380"/>
      <c r="H7" s="380">
        <v>1</v>
      </c>
      <c r="I7" s="469" t="s">
        <v>418</v>
      </c>
      <c r="J7" s="469" t="s">
        <v>212</v>
      </c>
      <c r="K7" s="469" t="s">
        <v>326</v>
      </c>
      <c r="L7" s="380">
        <v>2004</v>
      </c>
      <c r="M7" s="1175"/>
      <c r="N7" s="1104"/>
      <c r="O7" s="1104"/>
      <c r="P7" s="1104"/>
    </row>
    <row r="8" spans="1:16" s="278" customFormat="1" ht="15" customHeight="1">
      <c r="A8" s="786"/>
      <c r="B8" s="787"/>
      <c r="C8" s="790"/>
      <c r="D8" s="7">
        <v>1</v>
      </c>
      <c r="E8" s="380">
        <v>1</v>
      </c>
      <c r="F8" s="380"/>
      <c r="G8" s="380"/>
      <c r="H8" s="380">
        <v>1</v>
      </c>
      <c r="I8" s="470" t="s">
        <v>419</v>
      </c>
      <c r="J8" s="469" t="s">
        <v>18</v>
      </c>
      <c r="K8" s="409"/>
      <c r="L8" s="429">
        <v>1983</v>
      </c>
      <c r="M8" s="1175"/>
      <c r="N8" s="1104">
        <v>0</v>
      </c>
      <c r="O8" s="1104">
        <f>1643.6+4635</f>
        <v>6278.6</v>
      </c>
      <c r="P8" s="1104">
        <f>N8+O8</f>
        <v>6278.6</v>
      </c>
    </row>
    <row r="9" spans="1:16" s="278" customFormat="1" ht="15" customHeight="1">
      <c r="A9" s="786"/>
      <c r="B9" s="787"/>
      <c r="C9" s="790"/>
      <c r="D9" s="7">
        <v>1</v>
      </c>
      <c r="E9" s="380"/>
      <c r="F9" s="380">
        <v>1</v>
      </c>
      <c r="G9" s="380"/>
      <c r="H9" s="380">
        <v>1</v>
      </c>
      <c r="I9" s="470" t="s">
        <v>351</v>
      </c>
      <c r="J9" s="469" t="s">
        <v>18</v>
      </c>
      <c r="K9" s="469"/>
      <c r="L9" s="7">
        <v>1979</v>
      </c>
      <c r="M9" s="1175"/>
      <c r="N9" s="1104"/>
      <c r="O9" s="1104"/>
      <c r="P9" s="1104"/>
    </row>
    <row r="10" spans="1:16" s="278" customFormat="1" ht="15" customHeight="1">
      <c r="A10" s="786"/>
      <c r="B10" s="786"/>
      <c r="C10" s="790"/>
      <c r="D10" s="7">
        <v>1</v>
      </c>
      <c r="E10" s="380"/>
      <c r="F10" s="380">
        <v>1</v>
      </c>
      <c r="G10" s="380"/>
      <c r="H10" s="380">
        <v>1</v>
      </c>
      <c r="I10" s="469" t="s">
        <v>338</v>
      </c>
      <c r="J10" s="469" t="s">
        <v>212</v>
      </c>
      <c r="K10" s="469" t="s">
        <v>18</v>
      </c>
      <c r="L10" s="7">
        <v>2011</v>
      </c>
      <c r="M10" s="1175"/>
      <c r="N10" s="1104"/>
      <c r="O10" s="1104"/>
      <c r="P10" s="1104"/>
    </row>
    <row r="11" spans="1:16" s="278" customFormat="1" ht="15" customHeight="1">
      <c r="A11" s="1126" t="s">
        <v>458</v>
      </c>
      <c r="B11" s="1127"/>
      <c r="C11" s="22"/>
      <c r="D11" s="7"/>
      <c r="E11" s="380"/>
      <c r="F11" s="380"/>
      <c r="G11" s="380"/>
      <c r="H11" s="380"/>
      <c r="I11" s="469"/>
      <c r="J11" s="469"/>
      <c r="K11" s="469"/>
      <c r="L11" s="7"/>
      <c r="M11" s="7"/>
      <c r="N11" s="368">
        <v>1040.4</v>
      </c>
      <c r="O11" s="368">
        <v>0</v>
      </c>
      <c r="P11" s="368">
        <f>N11+O11</f>
        <v>1040.4</v>
      </c>
    </row>
    <row r="12" spans="1:17" s="206" customFormat="1" ht="15" customHeight="1">
      <c r="A12" s="1030" t="s">
        <v>75</v>
      </c>
      <c r="B12" s="1030"/>
      <c r="C12" s="104"/>
      <c r="D12" s="104">
        <f>SUM(D5:D10)</f>
        <v>6</v>
      </c>
      <c r="E12" s="104">
        <f>SUM(E5:E10)</f>
        <v>2</v>
      </c>
      <c r="F12" s="104">
        <f>SUM(F5:F10)</f>
        <v>4</v>
      </c>
      <c r="G12" s="104">
        <f>SUM(G5:G10)</f>
        <v>0</v>
      </c>
      <c r="H12" s="104">
        <f>SUM(H5:H10)</f>
        <v>6</v>
      </c>
      <c r="I12" s="104"/>
      <c r="J12" s="104"/>
      <c r="K12" s="104"/>
      <c r="L12" s="104"/>
      <c r="M12" s="596"/>
      <c r="N12" s="204">
        <f>SUM(N5:N11)</f>
        <v>37024.69</v>
      </c>
      <c r="O12" s="204">
        <f>SUM(O5:O10)</f>
        <v>6278.6</v>
      </c>
      <c r="P12" s="204">
        <f>SUM(P5:P11)</f>
        <v>43303.29</v>
      </c>
      <c r="Q12" s="209"/>
    </row>
    <row r="13" spans="1:16" s="4" customFormat="1" ht="15" customHeight="1">
      <c r="A13" s="1027" t="s">
        <v>64</v>
      </c>
      <c r="B13" s="1027"/>
      <c r="C13" s="87"/>
      <c r="D13" s="87"/>
      <c r="E13" s="300"/>
      <c r="F13" s="87"/>
      <c r="G13" s="87"/>
      <c r="H13" s="87"/>
      <c r="I13" s="87"/>
      <c r="J13" s="87"/>
      <c r="K13" s="87"/>
      <c r="L13" s="87"/>
      <c r="M13" s="597"/>
      <c r="N13" s="196"/>
      <c r="O13" s="196"/>
      <c r="P13" s="211"/>
    </row>
    <row r="14" spans="1:16" s="50" customFormat="1" ht="57" customHeight="1">
      <c r="A14" s="39" t="s">
        <v>332</v>
      </c>
      <c r="B14" s="39" t="s">
        <v>333</v>
      </c>
      <c r="C14" s="39" t="s">
        <v>213</v>
      </c>
      <c r="D14" s="115" t="s">
        <v>36</v>
      </c>
      <c r="E14" s="115" t="s">
        <v>73</v>
      </c>
      <c r="F14" s="115" t="s">
        <v>74</v>
      </c>
      <c r="G14" s="115" t="s">
        <v>37</v>
      </c>
      <c r="H14" s="115" t="s">
        <v>38</v>
      </c>
      <c r="I14" s="39"/>
      <c r="J14" s="115" t="s">
        <v>15</v>
      </c>
      <c r="K14" s="115" t="s">
        <v>214</v>
      </c>
      <c r="L14" s="115" t="s">
        <v>39</v>
      </c>
      <c r="M14" s="115" t="s">
        <v>76</v>
      </c>
      <c r="N14" s="360" t="s">
        <v>508</v>
      </c>
      <c r="O14" s="607" t="s">
        <v>509</v>
      </c>
      <c r="P14" s="595" t="s">
        <v>58</v>
      </c>
    </row>
    <row r="15" spans="1:16" s="294" customFormat="1" ht="15.75" customHeight="1">
      <c r="A15" s="794"/>
      <c r="B15" s="795"/>
      <c r="C15" s="790"/>
      <c r="D15" s="7">
        <v>1</v>
      </c>
      <c r="E15" s="22"/>
      <c r="F15" s="7">
        <v>1</v>
      </c>
      <c r="G15" s="7">
        <v>1</v>
      </c>
      <c r="H15" s="22"/>
      <c r="I15" s="200" t="s">
        <v>351</v>
      </c>
      <c r="J15" s="22" t="s">
        <v>212</v>
      </c>
      <c r="K15" s="22"/>
      <c r="L15" s="22">
        <v>1971</v>
      </c>
      <c r="M15" s="1175"/>
      <c r="N15" s="1099">
        <v>62148.02</v>
      </c>
      <c r="O15" s="1104">
        <v>0</v>
      </c>
      <c r="P15" s="1104">
        <f>N15+O15</f>
        <v>62148.02</v>
      </c>
    </row>
    <row r="16" spans="1:16" s="294" customFormat="1" ht="15.75" customHeight="1">
      <c r="A16" s="791"/>
      <c r="B16" s="791"/>
      <c r="C16" s="790"/>
      <c r="D16" s="380">
        <v>1</v>
      </c>
      <c r="E16" s="22"/>
      <c r="F16" s="380">
        <v>1</v>
      </c>
      <c r="G16" s="380">
        <v>1</v>
      </c>
      <c r="H16" s="380"/>
      <c r="I16" s="22" t="s">
        <v>338</v>
      </c>
      <c r="J16" s="22" t="s">
        <v>212</v>
      </c>
      <c r="K16" s="22" t="s">
        <v>212</v>
      </c>
      <c r="L16" s="7">
        <v>2000</v>
      </c>
      <c r="M16" s="1175"/>
      <c r="N16" s="1099"/>
      <c r="O16" s="1104"/>
      <c r="P16" s="1104"/>
    </row>
    <row r="17" spans="1:16" s="294" customFormat="1" ht="15.75" customHeight="1">
      <c r="A17" s="791"/>
      <c r="B17" s="791"/>
      <c r="C17" s="790"/>
      <c r="D17" s="380">
        <v>1</v>
      </c>
      <c r="E17" s="380">
        <v>1</v>
      </c>
      <c r="F17" s="380"/>
      <c r="G17" s="380">
        <v>1</v>
      </c>
      <c r="H17" s="380"/>
      <c r="I17" s="22" t="s">
        <v>418</v>
      </c>
      <c r="J17" s="22" t="s">
        <v>212</v>
      </c>
      <c r="K17" s="22" t="s">
        <v>212</v>
      </c>
      <c r="L17" s="7">
        <v>2001</v>
      </c>
      <c r="M17" s="1175"/>
      <c r="N17" s="1099"/>
      <c r="O17" s="1104"/>
      <c r="P17" s="1104"/>
    </row>
    <row r="18" spans="1:16" s="294" customFormat="1" ht="15.75" customHeight="1">
      <c r="A18" s="791"/>
      <c r="B18" s="791"/>
      <c r="C18" s="790"/>
      <c r="D18" s="380">
        <v>1</v>
      </c>
      <c r="E18" s="380">
        <v>1</v>
      </c>
      <c r="F18" s="380"/>
      <c r="G18" s="380"/>
      <c r="H18" s="380">
        <v>1</v>
      </c>
      <c r="I18" s="22" t="s">
        <v>419</v>
      </c>
      <c r="J18" s="15" t="s">
        <v>130</v>
      </c>
      <c r="K18" s="22"/>
      <c r="L18" s="7">
        <v>1987</v>
      </c>
      <c r="M18" s="1175"/>
      <c r="N18" s="1099">
        <v>0</v>
      </c>
      <c r="O18" s="1115">
        <v>3520</v>
      </c>
      <c r="P18" s="1115">
        <f>N18+O18</f>
        <v>3520</v>
      </c>
    </row>
    <row r="19" spans="1:16" s="294" customFormat="1" ht="15.75" customHeight="1">
      <c r="A19" s="791"/>
      <c r="B19" s="791"/>
      <c r="C19" s="790"/>
      <c r="D19" s="380">
        <v>1</v>
      </c>
      <c r="E19" s="380"/>
      <c r="F19" s="380">
        <v>1</v>
      </c>
      <c r="G19" s="380"/>
      <c r="H19" s="380">
        <v>1</v>
      </c>
      <c r="I19" s="22" t="s">
        <v>351</v>
      </c>
      <c r="J19" s="15" t="s">
        <v>130</v>
      </c>
      <c r="K19" s="22"/>
      <c r="L19" s="7">
        <v>1989</v>
      </c>
      <c r="M19" s="1175"/>
      <c r="N19" s="1099"/>
      <c r="O19" s="1115"/>
      <c r="P19" s="1115"/>
    </row>
    <row r="20" spans="1:16" s="294" customFormat="1" ht="15.75" customHeight="1">
      <c r="A20" s="791"/>
      <c r="B20" s="791"/>
      <c r="C20" s="790"/>
      <c r="D20" s="380">
        <v>1</v>
      </c>
      <c r="E20" s="380">
        <v>1</v>
      </c>
      <c r="F20" s="380"/>
      <c r="G20" s="380"/>
      <c r="H20" s="380">
        <v>1</v>
      </c>
      <c r="I20" s="22" t="s">
        <v>418</v>
      </c>
      <c r="J20" s="22" t="s">
        <v>212</v>
      </c>
      <c r="K20" s="15" t="s">
        <v>130</v>
      </c>
      <c r="L20" s="7">
        <v>2011</v>
      </c>
      <c r="M20" s="1175"/>
      <c r="N20" s="1099"/>
      <c r="O20" s="1115"/>
      <c r="P20" s="1115"/>
    </row>
    <row r="21" spans="1:16" s="294" customFormat="1" ht="15.75" customHeight="1">
      <c r="A21" s="791"/>
      <c r="B21" s="791"/>
      <c r="C21" s="790"/>
      <c r="D21" s="380">
        <v>1</v>
      </c>
      <c r="E21" s="380"/>
      <c r="F21" s="380">
        <v>1</v>
      </c>
      <c r="G21" s="380"/>
      <c r="H21" s="380">
        <v>1</v>
      </c>
      <c r="I21" s="15" t="s">
        <v>338</v>
      </c>
      <c r="J21" s="22" t="s">
        <v>212</v>
      </c>
      <c r="K21" s="15" t="s">
        <v>130</v>
      </c>
      <c r="L21" s="7">
        <v>2008</v>
      </c>
      <c r="M21" s="1175"/>
      <c r="N21" s="1099"/>
      <c r="O21" s="1115"/>
      <c r="P21" s="1115"/>
    </row>
    <row r="22" spans="1:16" s="294" customFormat="1" ht="15.75" customHeight="1">
      <c r="A22" s="791"/>
      <c r="B22" s="791"/>
      <c r="C22" s="790"/>
      <c r="D22" s="293">
        <v>1</v>
      </c>
      <c r="E22" s="22">
        <v>1</v>
      </c>
      <c r="F22" s="22"/>
      <c r="G22" s="22">
        <v>1</v>
      </c>
      <c r="H22" s="22"/>
      <c r="I22" s="22" t="s">
        <v>459</v>
      </c>
      <c r="J22" s="22" t="s">
        <v>212</v>
      </c>
      <c r="K22" s="22" t="s">
        <v>212</v>
      </c>
      <c r="L22" s="22">
        <v>2004</v>
      </c>
      <c r="M22" s="790"/>
      <c r="N22" s="195">
        <v>23790</v>
      </c>
      <c r="O22" s="368">
        <v>0</v>
      </c>
      <c r="P22" s="368">
        <f>N22+O22</f>
        <v>23790</v>
      </c>
    </row>
    <row r="23" spans="1:16" s="111" customFormat="1" ht="15" customHeight="1">
      <c r="A23" s="791"/>
      <c r="B23" s="791"/>
      <c r="C23" s="790"/>
      <c r="D23" s="7">
        <v>1</v>
      </c>
      <c r="E23" s="22"/>
      <c r="F23" s="22">
        <v>1</v>
      </c>
      <c r="G23" s="22">
        <v>1</v>
      </c>
      <c r="H23" s="22"/>
      <c r="I23" s="22" t="s">
        <v>421</v>
      </c>
      <c r="J23" s="22" t="s">
        <v>212</v>
      </c>
      <c r="K23" s="22" t="s">
        <v>212</v>
      </c>
      <c r="L23" s="22">
        <v>1991</v>
      </c>
      <c r="M23" s="790"/>
      <c r="N23" s="145">
        <v>2080</v>
      </c>
      <c r="O23" s="368">
        <v>0</v>
      </c>
      <c r="P23" s="368">
        <f>N23+O23</f>
        <v>2080</v>
      </c>
    </row>
    <row r="24" spans="1:16" s="111" customFormat="1" ht="15" customHeight="1">
      <c r="A24" s="791"/>
      <c r="B24" s="791"/>
      <c r="C24" s="790"/>
      <c r="D24" s="7">
        <v>1</v>
      </c>
      <c r="E24" s="22"/>
      <c r="F24" s="22">
        <v>1</v>
      </c>
      <c r="G24" s="22"/>
      <c r="H24" s="22">
        <v>1</v>
      </c>
      <c r="I24" s="22" t="s">
        <v>351</v>
      </c>
      <c r="J24" s="22" t="s">
        <v>427</v>
      </c>
      <c r="K24" s="22"/>
      <c r="L24" s="22">
        <v>1986</v>
      </c>
      <c r="M24" s="1174"/>
      <c r="N24" s="1099">
        <v>51714</v>
      </c>
      <c r="O24" s="1104">
        <v>0</v>
      </c>
      <c r="P24" s="1104">
        <v>51714</v>
      </c>
    </row>
    <row r="25" spans="1:16" s="111" customFormat="1" ht="15" customHeight="1">
      <c r="A25" s="791"/>
      <c r="B25" s="791"/>
      <c r="C25" s="790"/>
      <c r="D25" s="7">
        <v>1</v>
      </c>
      <c r="E25" s="22">
        <v>1</v>
      </c>
      <c r="F25" s="22"/>
      <c r="G25" s="22"/>
      <c r="H25" s="22">
        <v>1</v>
      </c>
      <c r="I25" s="22" t="s">
        <v>418</v>
      </c>
      <c r="J25" s="22" t="s">
        <v>212</v>
      </c>
      <c r="K25" s="22" t="s">
        <v>427</v>
      </c>
      <c r="L25" s="22">
        <v>2011</v>
      </c>
      <c r="M25" s="1174"/>
      <c r="N25" s="1099"/>
      <c r="O25" s="1104"/>
      <c r="P25" s="1104"/>
    </row>
    <row r="26" spans="1:16" s="111" customFormat="1" ht="15" customHeight="1">
      <c r="A26" s="791"/>
      <c r="B26" s="791"/>
      <c r="C26" s="790"/>
      <c r="D26" s="7">
        <v>1</v>
      </c>
      <c r="E26" s="285"/>
      <c r="F26" s="22">
        <v>1</v>
      </c>
      <c r="G26" s="22"/>
      <c r="H26" s="22">
        <v>1</v>
      </c>
      <c r="I26" s="22" t="s">
        <v>459</v>
      </c>
      <c r="J26" s="726" t="s">
        <v>32</v>
      </c>
      <c r="K26" s="726" t="s">
        <v>32</v>
      </c>
      <c r="L26" s="22">
        <v>1998</v>
      </c>
      <c r="M26" s="841"/>
      <c r="N26" s="195">
        <v>9357.52</v>
      </c>
      <c r="O26" s="368">
        <v>0</v>
      </c>
      <c r="P26" s="368">
        <f>N26+O26</f>
        <v>9357.52</v>
      </c>
    </row>
    <row r="27" spans="1:16" s="111" customFormat="1" ht="15" customHeight="1">
      <c r="A27" s="791"/>
      <c r="B27" s="795"/>
      <c r="C27" s="790"/>
      <c r="D27" s="7">
        <v>1</v>
      </c>
      <c r="E27" s="285"/>
      <c r="F27" s="22">
        <v>1</v>
      </c>
      <c r="G27" s="285"/>
      <c r="H27" s="7">
        <v>1</v>
      </c>
      <c r="I27" s="200" t="s">
        <v>351</v>
      </c>
      <c r="J27" s="22" t="s">
        <v>343</v>
      </c>
      <c r="K27" s="22"/>
      <c r="L27" s="7">
        <v>1982</v>
      </c>
      <c r="M27" s="1167"/>
      <c r="N27" s="1099">
        <v>0</v>
      </c>
      <c r="O27" s="1104">
        <v>15975</v>
      </c>
      <c r="P27" s="1104">
        <f>N27+O27</f>
        <v>15975</v>
      </c>
    </row>
    <row r="28" spans="1:16" s="278" customFormat="1" ht="15" customHeight="1">
      <c r="A28" s="794"/>
      <c r="B28" s="795"/>
      <c r="C28" s="790"/>
      <c r="D28" s="1">
        <v>1</v>
      </c>
      <c r="E28" s="22">
        <v>1</v>
      </c>
      <c r="F28" s="22"/>
      <c r="G28" s="22"/>
      <c r="H28" s="22">
        <v>1</v>
      </c>
      <c r="I28" s="200" t="s">
        <v>418</v>
      </c>
      <c r="J28" s="22" t="s">
        <v>343</v>
      </c>
      <c r="K28" s="22" t="s">
        <v>343</v>
      </c>
      <c r="L28" s="22">
        <v>1998</v>
      </c>
      <c r="M28" s="1167"/>
      <c r="N28" s="1099"/>
      <c r="O28" s="1104"/>
      <c r="P28" s="1104"/>
    </row>
    <row r="29" spans="1:17" s="278" customFormat="1" ht="15" customHeight="1">
      <c r="A29" s="791"/>
      <c r="B29" s="791"/>
      <c r="C29" s="790"/>
      <c r="D29" s="1">
        <v>1</v>
      </c>
      <c r="E29" s="22"/>
      <c r="F29" s="22">
        <v>1</v>
      </c>
      <c r="G29" s="22">
        <v>1</v>
      </c>
      <c r="H29" s="22"/>
      <c r="I29" s="22" t="s">
        <v>351</v>
      </c>
      <c r="J29" s="22" t="s">
        <v>212</v>
      </c>
      <c r="K29" s="22" t="s">
        <v>212</v>
      </c>
      <c r="L29" s="22">
        <v>1966</v>
      </c>
      <c r="M29" s="1165"/>
      <c r="N29" s="1099">
        <v>12622.83</v>
      </c>
      <c r="O29" s="1104">
        <v>0</v>
      </c>
      <c r="P29" s="1104">
        <f>N29+O29</f>
        <v>12622.83</v>
      </c>
      <c r="Q29" s="281"/>
    </row>
    <row r="30" spans="1:17" s="278" customFormat="1" ht="15" customHeight="1">
      <c r="A30" s="791"/>
      <c r="B30" s="791"/>
      <c r="C30" s="790"/>
      <c r="D30" s="22">
        <v>1</v>
      </c>
      <c r="E30" s="22">
        <v>1</v>
      </c>
      <c r="F30" s="22"/>
      <c r="G30" s="21">
        <v>1</v>
      </c>
      <c r="H30" s="22"/>
      <c r="I30" s="22" t="s">
        <v>418</v>
      </c>
      <c r="J30" s="22" t="s">
        <v>212</v>
      </c>
      <c r="K30" s="22" t="s">
        <v>212</v>
      </c>
      <c r="L30" s="22">
        <v>2009</v>
      </c>
      <c r="M30" s="1165"/>
      <c r="N30" s="1099"/>
      <c r="O30" s="1104"/>
      <c r="P30" s="1104"/>
      <c r="Q30" s="281"/>
    </row>
    <row r="31" spans="1:16" s="278" customFormat="1" ht="15" customHeight="1">
      <c r="A31" s="791"/>
      <c r="B31" s="791"/>
      <c r="C31" s="790"/>
      <c r="D31" s="1">
        <v>1</v>
      </c>
      <c r="E31" s="22"/>
      <c r="F31" s="22">
        <v>1</v>
      </c>
      <c r="G31" s="1"/>
      <c r="H31" s="1">
        <v>1</v>
      </c>
      <c r="I31" s="22" t="s">
        <v>351</v>
      </c>
      <c r="J31" s="22" t="s">
        <v>343</v>
      </c>
      <c r="K31" s="22"/>
      <c r="L31" s="1">
        <v>1993</v>
      </c>
      <c r="M31" s="1165"/>
      <c r="N31" s="1099">
        <v>40488.09</v>
      </c>
      <c r="O31" s="1104">
        <v>0</v>
      </c>
      <c r="P31" s="1104">
        <f>N31+O31</f>
        <v>40488.09</v>
      </c>
    </row>
    <row r="32" spans="1:17" s="278" customFormat="1" ht="15" customHeight="1">
      <c r="A32" s="794"/>
      <c r="B32" s="795"/>
      <c r="C32" s="790"/>
      <c r="D32" s="1">
        <v>1</v>
      </c>
      <c r="E32" s="22"/>
      <c r="F32" s="22">
        <v>1</v>
      </c>
      <c r="G32" s="22"/>
      <c r="H32" s="22">
        <v>1</v>
      </c>
      <c r="I32" s="200" t="s">
        <v>338</v>
      </c>
      <c r="J32" s="22" t="s">
        <v>344</v>
      </c>
      <c r="K32" s="22" t="s">
        <v>343</v>
      </c>
      <c r="L32" s="22">
        <v>2010</v>
      </c>
      <c r="M32" s="1165"/>
      <c r="N32" s="1099"/>
      <c r="O32" s="1104"/>
      <c r="P32" s="1104"/>
      <c r="Q32" s="281"/>
    </row>
    <row r="33" spans="1:16" s="278" customFormat="1" ht="15" customHeight="1">
      <c r="A33" s="791"/>
      <c r="B33" s="791"/>
      <c r="C33" s="790"/>
      <c r="D33" s="1">
        <v>1</v>
      </c>
      <c r="E33" s="22"/>
      <c r="F33" s="1">
        <v>1</v>
      </c>
      <c r="G33" s="1">
        <v>1</v>
      </c>
      <c r="H33" s="1"/>
      <c r="I33" s="22" t="s">
        <v>459</v>
      </c>
      <c r="J33" s="22" t="s">
        <v>220</v>
      </c>
      <c r="K33" s="22" t="s">
        <v>150</v>
      </c>
      <c r="L33" s="1">
        <v>1995</v>
      </c>
      <c r="M33" s="841"/>
      <c r="N33" s="195">
        <v>37265.53</v>
      </c>
      <c r="O33" s="368">
        <v>0</v>
      </c>
      <c r="P33" s="368">
        <f>N33+O33</f>
        <v>37265.53</v>
      </c>
    </row>
    <row r="34" spans="1:16" s="278" customFormat="1" ht="15" customHeight="1">
      <c r="A34" s="791"/>
      <c r="B34" s="791"/>
      <c r="C34" s="790"/>
      <c r="D34" s="1">
        <v>1</v>
      </c>
      <c r="E34" s="22"/>
      <c r="F34" s="22">
        <v>1</v>
      </c>
      <c r="G34" s="22"/>
      <c r="H34" s="22">
        <v>1</v>
      </c>
      <c r="I34" s="22" t="s">
        <v>351</v>
      </c>
      <c r="J34" s="22" t="s">
        <v>343</v>
      </c>
      <c r="K34" s="22"/>
      <c r="L34" s="22">
        <v>1984</v>
      </c>
      <c r="M34" s="1167"/>
      <c r="N34" s="1099">
        <v>0</v>
      </c>
      <c r="O34" s="1104">
        <v>18900</v>
      </c>
      <c r="P34" s="1104">
        <f>N34+O34</f>
        <v>18900</v>
      </c>
    </row>
    <row r="35" spans="1:16" s="278" customFormat="1" ht="15" customHeight="1">
      <c r="A35" s="791"/>
      <c r="B35" s="791"/>
      <c r="C35" s="790"/>
      <c r="D35" s="1">
        <v>1</v>
      </c>
      <c r="E35" s="22">
        <v>1</v>
      </c>
      <c r="F35" s="22"/>
      <c r="G35" s="22"/>
      <c r="H35" s="22">
        <v>1</v>
      </c>
      <c r="I35" s="22" t="s">
        <v>418</v>
      </c>
      <c r="J35" s="22" t="s">
        <v>212</v>
      </c>
      <c r="K35" s="22" t="s">
        <v>343</v>
      </c>
      <c r="L35" s="22">
        <v>2008</v>
      </c>
      <c r="M35" s="1167"/>
      <c r="N35" s="1099"/>
      <c r="O35" s="1104"/>
      <c r="P35" s="1104"/>
    </row>
    <row r="36" spans="1:16" s="278" customFormat="1" ht="15" customHeight="1">
      <c r="A36" s="791"/>
      <c r="B36" s="791"/>
      <c r="C36" s="790"/>
      <c r="D36" s="1">
        <v>1</v>
      </c>
      <c r="E36" s="22"/>
      <c r="F36" s="22">
        <v>1</v>
      </c>
      <c r="G36" s="22"/>
      <c r="H36" s="22">
        <v>1</v>
      </c>
      <c r="I36" s="22" t="s">
        <v>338</v>
      </c>
      <c r="J36" s="22" t="s">
        <v>212</v>
      </c>
      <c r="K36" s="22" t="s">
        <v>343</v>
      </c>
      <c r="L36" s="22">
        <v>2006</v>
      </c>
      <c r="M36" s="1167"/>
      <c r="N36" s="1099"/>
      <c r="O36" s="1104"/>
      <c r="P36" s="1104"/>
    </row>
    <row r="37" spans="1:17" ht="15" customHeight="1">
      <c r="A37" s="791"/>
      <c r="B37" s="791"/>
      <c r="C37" s="790"/>
      <c r="D37" s="1">
        <v>1</v>
      </c>
      <c r="E37" s="22">
        <v>1</v>
      </c>
      <c r="F37" s="22"/>
      <c r="G37" s="22"/>
      <c r="H37" s="22">
        <v>1</v>
      </c>
      <c r="I37" s="22" t="s">
        <v>419</v>
      </c>
      <c r="J37" s="22" t="s">
        <v>343</v>
      </c>
      <c r="K37" s="22"/>
      <c r="L37" s="22">
        <v>1980</v>
      </c>
      <c r="M37" s="1167"/>
      <c r="N37" s="1099">
        <v>0</v>
      </c>
      <c r="O37" s="1104">
        <v>24105</v>
      </c>
      <c r="P37" s="1104">
        <v>24105</v>
      </c>
      <c r="Q37" s="10"/>
    </row>
    <row r="38" spans="1:17" ht="15" customHeight="1">
      <c r="A38" s="791"/>
      <c r="B38" s="791"/>
      <c r="C38" s="790"/>
      <c r="D38" s="1">
        <v>1</v>
      </c>
      <c r="E38" s="22"/>
      <c r="F38" s="22">
        <v>1</v>
      </c>
      <c r="G38" s="1"/>
      <c r="H38" s="22">
        <v>1</v>
      </c>
      <c r="I38" s="22" t="s">
        <v>351</v>
      </c>
      <c r="J38" s="22" t="s">
        <v>343</v>
      </c>
      <c r="K38" s="22"/>
      <c r="L38" s="22">
        <v>1980</v>
      </c>
      <c r="M38" s="1167"/>
      <c r="N38" s="1099"/>
      <c r="O38" s="1104"/>
      <c r="P38" s="1104"/>
      <c r="Q38" s="10"/>
    </row>
    <row r="39" spans="1:17" ht="15" customHeight="1">
      <c r="A39" s="791"/>
      <c r="B39" s="791"/>
      <c r="C39" s="790"/>
      <c r="D39" s="1">
        <v>1</v>
      </c>
      <c r="E39" s="22"/>
      <c r="F39" s="22">
        <v>1</v>
      </c>
      <c r="G39" s="22"/>
      <c r="H39" s="22">
        <v>1</v>
      </c>
      <c r="I39" s="22" t="s">
        <v>338</v>
      </c>
      <c r="J39" s="22" t="s">
        <v>343</v>
      </c>
      <c r="K39" s="22" t="s">
        <v>343</v>
      </c>
      <c r="L39" s="22">
        <v>1998</v>
      </c>
      <c r="M39" s="1167"/>
      <c r="N39" s="1099"/>
      <c r="O39" s="1104"/>
      <c r="P39" s="1104"/>
      <c r="Q39" s="10"/>
    </row>
    <row r="40" spans="1:17" ht="15" customHeight="1">
      <c r="A40" s="791"/>
      <c r="B40" s="791"/>
      <c r="C40" s="790"/>
      <c r="D40" s="1">
        <v>1</v>
      </c>
      <c r="E40" s="22">
        <v>1</v>
      </c>
      <c r="F40" s="22"/>
      <c r="G40" s="1"/>
      <c r="H40" s="22">
        <v>1</v>
      </c>
      <c r="I40" s="22" t="s">
        <v>418</v>
      </c>
      <c r="J40" s="22" t="s">
        <v>212</v>
      </c>
      <c r="K40" s="22" t="s">
        <v>343</v>
      </c>
      <c r="L40" s="22">
        <v>2005</v>
      </c>
      <c r="M40" s="1167"/>
      <c r="N40" s="1099"/>
      <c r="O40" s="1104"/>
      <c r="P40" s="1104"/>
      <c r="Q40" s="10"/>
    </row>
    <row r="41" spans="1:17" ht="15" customHeight="1">
      <c r="A41" s="791"/>
      <c r="B41" s="791"/>
      <c r="C41" s="790"/>
      <c r="D41" s="1">
        <v>1</v>
      </c>
      <c r="E41" s="22"/>
      <c r="F41" s="22">
        <v>1</v>
      </c>
      <c r="G41" s="22"/>
      <c r="H41" s="22">
        <v>1</v>
      </c>
      <c r="I41" s="22" t="s">
        <v>338</v>
      </c>
      <c r="J41" s="22" t="s">
        <v>343</v>
      </c>
      <c r="K41" s="22" t="s">
        <v>343</v>
      </c>
      <c r="L41" s="22">
        <v>2000</v>
      </c>
      <c r="M41" s="1167"/>
      <c r="N41" s="1099"/>
      <c r="O41" s="1104"/>
      <c r="P41" s="1104"/>
      <c r="Q41" s="10"/>
    </row>
    <row r="42" spans="1:17" ht="15" customHeight="1">
      <c r="A42" s="897"/>
      <c r="B42" s="791"/>
      <c r="C42" s="790"/>
      <c r="D42" s="1">
        <v>1</v>
      </c>
      <c r="E42" s="22"/>
      <c r="F42" s="22">
        <v>1</v>
      </c>
      <c r="G42" s="22"/>
      <c r="H42" s="22">
        <v>1</v>
      </c>
      <c r="I42" s="22" t="s">
        <v>351</v>
      </c>
      <c r="J42" s="22" t="s">
        <v>343</v>
      </c>
      <c r="K42" s="22"/>
      <c r="L42" s="22">
        <v>1983</v>
      </c>
      <c r="M42" s="1165"/>
      <c r="N42" s="1099">
        <v>29770</v>
      </c>
      <c r="O42" s="1099">
        <v>0</v>
      </c>
      <c r="P42" s="1104">
        <f>N42+O42</f>
        <v>29770</v>
      </c>
      <c r="Q42" s="10"/>
    </row>
    <row r="43" spans="1:16" ht="15" customHeight="1">
      <c r="A43" s="897"/>
      <c r="B43" s="791"/>
      <c r="C43" s="790"/>
      <c r="D43" s="1">
        <v>1</v>
      </c>
      <c r="E43" s="22">
        <v>1</v>
      </c>
      <c r="F43" s="22"/>
      <c r="G43" s="22"/>
      <c r="H43" s="22">
        <v>1</v>
      </c>
      <c r="I43" s="22" t="s">
        <v>418</v>
      </c>
      <c r="J43" s="22" t="s">
        <v>212</v>
      </c>
      <c r="K43" s="22" t="s">
        <v>343</v>
      </c>
      <c r="L43" s="22">
        <v>2006</v>
      </c>
      <c r="M43" s="1165"/>
      <c r="N43" s="1099"/>
      <c r="O43" s="1099"/>
      <c r="P43" s="1104"/>
    </row>
    <row r="44" spans="1:16" ht="15" customHeight="1">
      <c r="A44" s="791"/>
      <c r="B44" s="791"/>
      <c r="C44" s="790"/>
      <c r="D44" s="1">
        <v>1</v>
      </c>
      <c r="E44" s="22"/>
      <c r="F44" s="22">
        <v>1</v>
      </c>
      <c r="G44" s="22"/>
      <c r="H44" s="22">
        <v>1</v>
      </c>
      <c r="I44" s="22" t="s">
        <v>351</v>
      </c>
      <c r="J44" s="22" t="s">
        <v>33</v>
      </c>
      <c r="K44" s="1"/>
      <c r="L44" s="22">
        <v>1974</v>
      </c>
      <c r="M44" s="1167"/>
      <c r="N44" s="1099">
        <v>0</v>
      </c>
      <c r="O44" s="1099">
        <v>7230.69</v>
      </c>
      <c r="P44" s="1115">
        <f>N44+O44</f>
        <v>7230.69</v>
      </c>
    </row>
    <row r="45" spans="1:16" ht="15" customHeight="1">
      <c r="A45" s="791"/>
      <c r="B45" s="791"/>
      <c r="C45" s="790"/>
      <c r="D45" s="1">
        <v>1</v>
      </c>
      <c r="E45" s="22"/>
      <c r="F45" s="22">
        <v>1</v>
      </c>
      <c r="G45" s="22"/>
      <c r="H45" s="22">
        <v>1</v>
      </c>
      <c r="I45" s="22" t="s">
        <v>338</v>
      </c>
      <c r="J45" s="22" t="s">
        <v>212</v>
      </c>
      <c r="K45" s="15" t="s">
        <v>33</v>
      </c>
      <c r="L45" s="22">
        <v>2011</v>
      </c>
      <c r="M45" s="1167"/>
      <c r="N45" s="1099"/>
      <c r="O45" s="1099"/>
      <c r="P45" s="1115"/>
    </row>
    <row r="46" spans="1:16" ht="15" customHeight="1">
      <c r="A46" s="791"/>
      <c r="B46" s="791"/>
      <c r="C46" s="790"/>
      <c r="D46" s="1">
        <v>1</v>
      </c>
      <c r="E46" s="22">
        <v>1</v>
      </c>
      <c r="F46" s="22"/>
      <c r="G46" s="22">
        <v>1</v>
      </c>
      <c r="H46" s="22"/>
      <c r="I46" s="22" t="s">
        <v>459</v>
      </c>
      <c r="J46" s="22" t="s">
        <v>212</v>
      </c>
      <c r="K46" s="15" t="s">
        <v>212</v>
      </c>
      <c r="L46" s="22">
        <v>1996</v>
      </c>
      <c r="M46" s="841"/>
      <c r="N46" s="195">
        <v>53144</v>
      </c>
      <c r="O46" s="195">
        <v>0</v>
      </c>
      <c r="P46" s="368">
        <f>N46+O46</f>
        <v>53144</v>
      </c>
    </row>
    <row r="47" spans="1:16" ht="15" customHeight="1">
      <c r="A47" s="791"/>
      <c r="B47" s="791"/>
      <c r="C47" s="790"/>
      <c r="D47" s="1">
        <v>1</v>
      </c>
      <c r="E47" s="22"/>
      <c r="F47" s="22">
        <v>1</v>
      </c>
      <c r="G47" s="1"/>
      <c r="H47" s="22">
        <v>1</v>
      </c>
      <c r="I47" s="22" t="s">
        <v>351</v>
      </c>
      <c r="J47" s="22" t="s">
        <v>498</v>
      </c>
      <c r="K47" s="22"/>
      <c r="L47" s="22">
        <v>1976</v>
      </c>
      <c r="M47" s="1167"/>
      <c r="N47" s="1099">
        <v>7028.01</v>
      </c>
      <c r="O47" s="1099">
        <v>0</v>
      </c>
      <c r="P47" s="1104">
        <f>N47+O47</f>
        <v>7028.01</v>
      </c>
    </row>
    <row r="48" spans="1:16" ht="15" customHeight="1">
      <c r="A48" s="794"/>
      <c r="B48" s="795"/>
      <c r="C48" s="790"/>
      <c r="D48" s="1">
        <v>1</v>
      </c>
      <c r="E48" s="22"/>
      <c r="F48" s="22">
        <v>1</v>
      </c>
      <c r="G48" s="1">
        <v>1</v>
      </c>
      <c r="H48" s="22"/>
      <c r="I48" s="200" t="s">
        <v>338</v>
      </c>
      <c r="J48" s="22" t="s">
        <v>212</v>
      </c>
      <c r="K48" s="22" t="s">
        <v>498</v>
      </c>
      <c r="L48" s="22">
        <v>2008</v>
      </c>
      <c r="M48" s="1167"/>
      <c r="N48" s="1099"/>
      <c r="O48" s="1099"/>
      <c r="P48" s="1104"/>
    </row>
    <row r="49" spans="1:16" ht="15" customHeight="1">
      <c r="A49" s="791"/>
      <c r="B49" s="791"/>
      <c r="C49" s="790"/>
      <c r="D49" s="1">
        <v>1</v>
      </c>
      <c r="E49" s="22"/>
      <c r="F49" s="22">
        <v>1</v>
      </c>
      <c r="G49" s="1">
        <v>1</v>
      </c>
      <c r="H49" s="1"/>
      <c r="I49" s="22" t="s">
        <v>351</v>
      </c>
      <c r="J49" s="22" t="s">
        <v>212</v>
      </c>
      <c r="K49" s="15" t="s">
        <v>212</v>
      </c>
      <c r="L49" s="22">
        <v>1980</v>
      </c>
      <c r="M49" s="1167"/>
      <c r="N49" s="1099">
        <v>35774.76</v>
      </c>
      <c r="O49" s="1099">
        <v>0</v>
      </c>
      <c r="P49" s="1104">
        <v>35774.76</v>
      </c>
    </row>
    <row r="50" spans="1:16" ht="15" customHeight="1">
      <c r="A50" s="791"/>
      <c r="B50" s="791"/>
      <c r="C50" s="790"/>
      <c r="D50" s="1">
        <v>1</v>
      </c>
      <c r="E50" s="22"/>
      <c r="F50" s="22">
        <v>1</v>
      </c>
      <c r="G50" s="1">
        <v>1</v>
      </c>
      <c r="H50" s="22"/>
      <c r="I50" s="22" t="s">
        <v>338</v>
      </c>
      <c r="J50" s="22" t="s">
        <v>212</v>
      </c>
      <c r="K50" s="15" t="s">
        <v>212</v>
      </c>
      <c r="L50" s="22">
        <v>2000</v>
      </c>
      <c r="M50" s="1167"/>
      <c r="N50" s="1099"/>
      <c r="O50" s="1099"/>
      <c r="P50" s="1104"/>
    </row>
    <row r="51" spans="1:16" ht="15" customHeight="1">
      <c r="A51" s="791"/>
      <c r="B51" s="791"/>
      <c r="C51" s="790"/>
      <c r="D51" s="1">
        <v>1</v>
      </c>
      <c r="E51" s="22"/>
      <c r="F51" s="22">
        <v>1</v>
      </c>
      <c r="G51" s="22">
        <v>1</v>
      </c>
      <c r="H51" s="22"/>
      <c r="I51" s="22" t="s">
        <v>338</v>
      </c>
      <c r="J51" s="22" t="s">
        <v>212</v>
      </c>
      <c r="K51" s="15" t="s">
        <v>212</v>
      </c>
      <c r="L51" s="22">
        <v>2002</v>
      </c>
      <c r="M51" s="1167"/>
      <c r="N51" s="1099"/>
      <c r="O51" s="1099"/>
      <c r="P51" s="1104"/>
    </row>
    <row r="52" spans="1:16" ht="15" customHeight="1">
      <c r="A52" s="791"/>
      <c r="B52" s="791"/>
      <c r="C52" s="790"/>
      <c r="D52" s="1">
        <v>1</v>
      </c>
      <c r="E52" s="22"/>
      <c r="F52" s="22">
        <v>1</v>
      </c>
      <c r="G52" s="22"/>
      <c r="H52" s="22">
        <v>1</v>
      </c>
      <c r="I52" s="22" t="s">
        <v>351</v>
      </c>
      <c r="J52" s="22" t="s">
        <v>17</v>
      </c>
      <c r="K52" s="22"/>
      <c r="L52" s="22">
        <v>1983</v>
      </c>
      <c r="M52" s="1167"/>
      <c r="N52" s="1099">
        <v>0</v>
      </c>
      <c r="O52" s="1099">
        <v>10683.35</v>
      </c>
      <c r="P52" s="1104">
        <f>N52+O52</f>
        <v>10683.35</v>
      </c>
    </row>
    <row r="53" spans="1:16" ht="15" customHeight="1">
      <c r="A53" s="791"/>
      <c r="B53" s="791"/>
      <c r="C53" s="790"/>
      <c r="D53" s="1">
        <v>1</v>
      </c>
      <c r="E53" s="22"/>
      <c r="F53" s="22">
        <v>1</v>
      </c>
      <c r="G53" s="22"/>
      <c r="H53" s="22">
        <v>1</v>
      </c>
      <c r="I53" s="22" t="s">
        <v>338</v>
      </c>
      <c r="J53" s="22" t="s">
        <v>212</v>
      </c>
      <c r="K53" s="15" t="s">
        <v>17</v>
      </c>
      <c r="L53" s="22">
        <v>2011</v>
      </c>
      <c r="M53" s="1167"/>
      <c r="N53" s="1099"/>
      <c r="O53" s="1099"/>
      <c r="P53" s="1104"/>
    </row>
    <row r="54" spans="1:16" s="278" customFormat="1" ht="15" customHeight="1">
      <c r="A54" s="791"/>
      <c r="B54" s="791"/>
      <c r="C54" s="792"/>
      <c r="D54" s="1">
        <v>1</v>
      </c>
      <c r="E54" s="22"/>
      <c r="F54" s="22">
        <v>1</v>
      </c>
      <c r="G54" s="22">
        <v>1</v>
      </c>
      <c r="H54" s="22"/>
      <c r="I54" s="22" t="s">
        <v>459</v>
      </c>
      <c r="J54" s="22" t="s">
        <v>212</v>
      </c>
      <c r="K54" s="22" t="s">
        <v>212</v>
      </c>
      <c r="L54" s="22">
        <v>1996</v>
      </c>
      <c r="M54" s="841"/>
      <c r="N54" s="195">
        <v>5610.86</v>
      </c>
      <c r="O54" s="195">
        <v>0</v>
      </c>
      <c r="P54" s="368">
        <f>N54+O54</f>
        <v>5610.86</v>
      </c>
    </row>
    <row r="55" spans="1:16" s="278" customFormat="1" ht="15" customHeight="1">
      <c r="A55" s="791"/>
      <c r="B55" s="791"/>
      <c r="C55" s="790"/>
      <c r="D55" s="1">
        <v>1</v>
      </c>
      <c r="E55" s="22"/>
      <c r="F55" s="22">
        <v>1</v>
      </c>
      <c r="G55" s="22"/>
      <c r="H55" s="22">
        <v>1</v>
      </c>
      <c r="I55" s="22" t="s">
        <v>459</v>
      </c>
      <c r="J55" s="22" t="s">
        <v>212</v>
      </c>
      <c r="K55" s="22" t="s">
        <v>343</v>
      </c>
      <c r="L55" s="22">
        <v>2011</v>
      </c>
      <c r="M55" s="1167"/>
      <c r="N55" s="1099">
        <v>6121.9</v>
      </c>
      <c r="O55" s="1099">
        <v>0</v>
      </c>
      <c r="P55" s="1104">
        <v>6121.9</v>
      </c>
    </row>
    <row r="56" spans="1:16" s="278" customFormat="1" ht="15" customHeight="1">
      <c r="A56" s="791"/>
      <c r="B56" s="791"/>
      <c r="C56" s="790"/>
      <c r="D56" s="1">
        <v>1</v>
      </c>
      <c r="E56" s="22">
        <v>1</v>
      </c>
      <c r="F56" s="22"/>
      <c r="G56" s="22"/>
      <c r="H56" s="22">
        <v>1</v>
      </c>
      <c r="I56" s="22" t="s">
        <v>459</v>
      </c>
      <c r="J56" s="22" t="s">
        <v>212</v>
      </c>
      <c r="K56" s="22" t="s">
        <v>343</v>
      </c>
      <c r="L56" s="22">
        <v>2006</v>
      </c>
      <c r="M56" s="1167"/>
      <c r="N56" s="1099"/>
      <c r="O56" s="1099"/>
      <c r="P56" s="1104"/>
    </row>
    <row r="57" spans="1:16" s="278" customFormat="1" ht="15" customHeight="1">
      <c r="A57" s="791"/>
      <c r="B57" s="791"/>
      <c r="C57" s="790"/>
      <c r="D57" s="1">
        <v>1</v>
      </c>
      <c r="E57" s="22">
        <v>1</v>
      </c>
      <c r="F57" s="22"/>
      <c r="G57" s="22"/>
      <c r="H57" s="22">
        <v>1</v>
      </c>
      <c r="I57" s="22" t="s">
        <v>419</v>
      </c>
      <c r="J57" s="22" t="s">
        <v>512</v>
      </c>
      <c r="K57" s="15"/>
      <c r="L57" s="22">
        <v>1976</v>
      </c>
      <c r="M57" s="1167"/>
      <c r="N57" s="1099">
        <v>0</v>
      </c>
      <c r="O57" s="1099">
        <v>12142.02</v>
      </c>
      <c r="P57" s="1104">
        <f>N57+O57</f>
        <v>12142.02</v>
      </c>
    </row>
    <row r="58" spans="1:16" s="278" customFormat="1" ht="15" customHeight="1">
      <c r="A58" s="794"/>
      <c r="B58" s="795"/>
      <c r="C58" s="790"/>
      <c r="D58" s="1">
        <v>1</v>
      </c>
      <c r="E58" s="22"/>
      <c r="F58" s="22">
        <v>1</v>
      </c>
      <c r="G58" s="22"/>
      <c r="H58" s="22">
        <v>1</v>
      </c>
      <c r="I58" s="200" t="s">
        <v>351</v>
      </c>
      <c r="J58" s="22" t="s">
        <v>512</v>
      </c>
      <c r="K58" s="22"/>
      <c r="L58" s="22">
        <v>1980</v>
      </c>
      <c r="M58" s="1167"/>
      <c r="N58" s="1099"/>
      <c r="O58" s="1099"/>
      <c r="P58" s="1104"/>
    </row>
    <row r="59" spans="1:16" ht="15" customHeight="1">
      <c r="A59" s="794"/>
      <c r="B59" s="795"/>
      <c r="C59" s="790"/>
      <c r="D59" s="1">
        <v>1</v>
      </c>
      <c r="E59" s="22">
        <v>1</v>
      </c>
      <c r="F59" s="22"/>
      <c r="G59" s="22"/>
      <c r="H59" s="22">
        <v>1</v>
      </c>
      <c r="I59" s="200" t="s">
        <v>418</v>
      </c>
      <c r="J59" s="22" t="s">
        <v>212</v>
      </c>
      <c r="K59" s="15" t="s">
        <v>512</v>
      </c>
      <c r="L59" s="1">
        <v>2005</v>
      </c>
      <c r="M59" s="1167"/>
      <c r="N59" s="1099"/>
      <c r="O59" s="1099"/>
      <c r="P59" s="1104"/>
    </row>
    <row r="60" spans="1:16" ht="15" customHeight="1">
      <c r="A60" s="794"/>
      <c r="B60" s="795"/>
      <c r="C60" s="790"/>
      <c r="D60" s="1">
        <v>1</v>
      </c>
      <c r="E60" s="22">
        <v>1</v>
      </c>
      <c r="F60" s="22"/>
      <c r="G60" s="22"/>
      <c r="H60" s="22">
        <v>1</v>
      </c>
      <c r="I60" s="200" t="s">
        <v>418</v>
      </c>
      <c r="J60" s="22" t="s">
        <v>212</v>
      </c>
      <c r="K60" s="15" t="s">
        <v>512</v>
      </c>
      <c r="L60" s="22">
        <v>2008</v>
      </c>
      <c r="M60" s="1167"/>
      <c r="N60" s="1099"/>
      <c r="O60" s="1099"/>
      <c r="P60" s="1104"/>
    </row>
    <row r="61" spans="1:16" ht="15" customHeight="1">
      <c r="A61" s="794"/>
      <c r="B61" s="795"/>
      <c r="C61" s="790"/>
      <c r="D61" s="1">
        <v>1</v>
      </c>
      <c r="E61" s="22"/>
      <c r="F61" s="22">
        <v>1</v>
      </c>
      <c r="G61" s="22"/>
      <c r="H61" s="22">
        <v>1</v>
      </c>
      <c r="I61" s="200" t="s">
        <v>338</v>
      </c>
      <c r="J61" s="22" t="s">
        <v>212</v>
      </c>
      <c r="K61" s="15" t="s">
        <v>512</v>
      </c>
      <c r="L61" s="22">
        <v>2011</v>
      </c>
      <c r="M61" s="1167"/>
      <c r="N61" s="1099"/>
      <c r="O61" s="1099"/>
      <c r="P61" s="1104"/>
    </row>
    <row r="62" spans="1:16" ht="15" customHeight="1">
      <c r="A62" s="791"/>
      <c r="B62" s="791"/>
      <c r="C62" s="790"/>
      <c r="D62" s="1">
        <v>1</v>
      </c>
      <c r="E62" s="22"/>
      <c r="F62" s="22">
        <v>1</v>
      </c>
      <c r="G62" s="22">
        <v>1</v>
      </c>
      <c r="H62" s="22"/>
      <c r="I62" s="22" t="s">
        <v>459</v>
      </c>
      <c r="J62" s="22" t="s">
        <v>212</v>
      </c>
      <c r="K62" s="15" t="s">
        <v>212</v>
      </c>
      <c r="L62" s="22">
        <v>1993</v>
      </c>
      <c r="M62" s="841"/>
      <c r="N62" s="195">
        <v>19009.33</v>
      </c>
      <c r="O62" s="195">
        <v>0</v>
      </c>
      <c r="P62" s="368">
        <f>N62+O62</f>
        <v>19009.33</v>
      </c>
    </row>
    <row r="63" spans="1:16" ht="15" customHeight="1">
      <c r="A63" s="791"/>
      <c r="B63" s="791"/>
      <c r="C63" s="792"/>
      <c r="D63" s="1">
        <v>1</v>
      </c>
      <c r="E63" s="22"/>
      <c r="F63" s="22">
        <v>1</v>
      </c>
      <c r="G63" s="22"/>
      <c r="H63" s="22">
        <v>1</v>
      </c>
      <c r="I63" s="22" t="s">
        <v>459</v>
      </c>
      <c r="J63" s="22" t="s">
        <v>18</v>
      </c>
      <c r="K63" s="22" t="s">
        <v>18</v>
      </c>
      <c r="L63" s="22">
        <v>1997</v>
      </c>
      <c r="M63" s="841"/>
      <c r="N63" s="195">
        <v>32198.4</v>
      </c>
      <c r="O63" s="195">
        <v>0</v>
      </c>
      <c r="P63" s="368">
        <f>N63+O63</f>
        <v>32198.4</v>
      </c>
    </row>
    <row r="64" spans="1:16" ht="15" customHeight="1">
      <c r="A64" s="791"/>
      <c r="B64" s="791"/>
      <c r="C64" s="790"/>
      <c r="D64" s="22">
        <v>1</v>
      </c>
      <c r="E64" s="22">
        <v>1</v>
      </c>
      <c r="F64" s="22"/>
      <c r="G64" s="22"/>
      <c r="H64" s="22">
        <v>1</v>
      </c>
      <c r="I64" s="22" t="s">
        <v>419</v>
      </c>
      <c r="J64" s="22" t="s">
        <v>326</v>
      </c>
      <c r="K64" s="15"/>
      <c r="L64" s="22">
        <v>1966</v>
      </c>
      <c r="M64" s="1167"/>
      <c r="N64" s="1099">
        <v>0</v>
      </c>
      <c r="O64" s="1099">
        <v>32940</v>
      </c>
      <c r="P64" s="1104">
        <v>32940</v>
      </c>
    </row>
    <row r="65" spans="1:16" ht="15" customHeight="1">
      <c r="A65" s="791"/>
      <c r="B65" s="791"/>
      <c r="C65" s="790"/>
      <c r="D65" s="1">
        <v>1</v>
      </c>
      <c r="E65" s="22"/>
      <c r="F65" s="22">
        <v>1</v>
      </c>
      <c r="G65" s="22"/>
      <c r="H65" s="22">
        <v>1</v>
      </c>
      <c r="I65" s="22" t="s">
        <v>351</v>
      </c>
      <c r="J65" s="22" t="s">
        <v>326</v>
      </c>
      <c r="K65" s="15"/>
      <c r="L65" s="22">
        <v>1978</v>
      </c>
      <c r="M65" s="1167"/>
      <c r="N65" s="1099"/>
      <c r="O65" s="1099"/>
      <c r="P65" s="1104"/>
    </row>
    <row r="66" spans="1:16" ht="15" customHeight="1">
      <c r="A66" s="791"/>
      <c r="B66" s="791"/>
      <c r="C66" s="790"/>
      <c r="D66" s="1">
        <v>1</v>
      </c>
      <c r="E66" s="22"/>
      <c r="F66" s="22">
        <v>1</v>
      </c>
      <c r="G66" s="22"/>
      <c r="H66" s="22">
        <v>1</v>
      </c>
      <c r="I66" s="22" t="s">
        <v>338</v>
      </c>
      <c r="J66" s="22" t="s">
        <v>212</v>
      </c>
      <c r="K66" s="22" t="s">
        <v>326</v>
      </c>
      <c r="L66" s="22">
        <v>2005</v>
      </c>
      <c r="M66" s="1167"/>
      <c r="N66" s="1099"/>
      <c r="O66" s="1099"/>
      <c r="P66" s="1104"/>
    </row>
    <row r="67" spans="1:16" s="278" customFormat="1" ht="15" customHeight="1">
      <c r="A67" s="791"/>
      <c r="B67" s="791"/>
      <c r="C67" s="790"/>
      <c r="D67" s="1">
        <v>1</v>
      </c>
      <c r="E67" s="22"/>
      <c r="F67" s="22">
        <v>1</v>
      </c>
      <c r="G67" s="22"/>
      <c r="H67" s="22">
        <v>1</v>
      </c>
      <c r="I67" s="22" t="s">
        <v>338</v>
      </c>
      <c r="J67" s="22" t="s">
        <v>212</v>
      </c>
      <c r="K67" s="22" t="s">
        <v>326</v>
      </c>
      <c r="L67" s="22">
        <v>2007</v>
      </c>
      <c r="M67" s="1167"/>
      <c r="N67" s="1099"/>
      <c r="O67" s="1099"/>
      <c r="P67" s="1104"/>
    </row>
    <row r="68" spans="1:16" s="278" customFormat="1" ht="15" customHeight="1">
      <c r="A68" s="791"/>
      <c r="B68" s="791"/>
      <c r="C68" s="790"/>
      <c r="D68" s="1">
        <v>1</v>
      </c>
      <c r="E68" s="22">
        <v>1</v>
      </c>
      <c r="F68" s="22"/>
      <c r="G68" s="22"/>
      <c r="H68" s="22">
        <v>1</v>
      </c>
      <c r="I68" s="22" t="s">
        <v>418</v>
      </c>
      <c r="J68" s="22" t="s">
        <v>212</v>
      </c>
      <c r="K68" s="22" t="s">
        <v>326</v>
      </c>
      <c r="L68" s="22">
        <v>2010</v>
      </c>
      <c r="M68" s="1167"/>
      <c r="N68" s="1099"/>
      <c r="O68" s="1099"/>
      <c r="P68" s="1104"/>
    </row>
    <row r="69" spans="1:16" s="278" customFormat="1" ht="15" customHeight="1">
      <c r="A69" s="791"/>
      <c r="B69" s="791"/>
      <c r="C69" s="790"/>
      <c r="D69" s="1">
        <v>1</v>
      </c>
      <c r="E69" s="22"/>
      <c r="F69" s="22">
        <v>1</v>
      </c>
      <c r="G69" s="22"/>
      <c r="H69" s="22">
        <v>1</v>
      </c>
      <c r="I69" s="22" t="s">
        <v>351</v>
      </c>
      <c r="J69" s="22" t="s">
        <v>130</v>
      </c>
      <c r="K69" s="15"/>
      <c r="L69" s="22">
        <v>1979</v>
      </c>
      <c r="M69" s="1165"/>
      <c r="N69" s="1099">
        <v>32723.76</v>
      </c>
      <c r="O69" s="1099">
        <v>0</v>
      </c>
      <c r="P69" s="1104">
        <f>N69+O69</f>
        <v>32723.76</v>
      </c>
    </row>
    <row r="70" spans="1:16" s="278" customFormat="1" ht="22.5" customHeight="1">
      <c r="A70" s="791"/>
      <c r="B70" s="791"/>
      <c r="C70" s="790"/>
      <c r="D70" s="1">
        <v>1</v>
      </c>
      <c r="E70" s="22"/>
      <c r="F70" s="22">
        <v>1</v>
      </c>
      <c r="G70" s="22"/>
      <c r="H70" s="22">
        <v>1</v>
      </c>
      <c r="I70" s="22" t="s">
        <v>338</v>
      </c>
      <c r="J70" s="22" t="s">
        <v>130</v>
      </c>
      <c r="K70" s="15" t="s">
        <v>342</v>
      </c>
      <c r="L70" s="22">
        <v>2001</v>
      </c>
      <c r="M70" s="1165"/>
      <c r="N70" s="1099"/>
      <c r="O70" s="1099"/>
      <c r="P70" s="1104"/>
    </row>
    <row r="71" spans="1:16" s="278" customFormat="1" ht="15" customHeight="1">
      <c r="A71" s="791"/>
      <c r="B71" s="791"/>
      <c r="C71" s="790"/>
      <c r="D71" s="1"/>
      <c r="E71" s="22"/>
      <c r="F71" s="22"/>
      <c r="G71" s="22"/>
      <c r="H71" s="22"/>
      <c r="I71" s="22" t="s">
        <v>459</v>
      </c>
      <c r="J71" s="22" t="s">
        <v>130</v>
      </c>
      <c r="K71" s="15" t="s">
        <v>342</v>
      </c>
      <c r="L71" s="22">
        <v>2001</v>
      </c>
      <c r="M71" s="841"/>
      <c r="N71" s="195">
        <v>8540</v>
      </c>
      <c r="O71" s="195">
        <v>0</v>
      </c>
      <c r="P71" s="368">
        <f>N71+O71</f>
        <v>8540</v>
      </c>
    </row>
    <row r="72" spans="1:16" s="278" customFormat="1" ht="15" customHeight="1">
      <c r="A72" s="791"/>
      <c r="B72" s="791"/>
      <c r="C72" s="790"/>
      <c r="D72" s="1">
        <v>1</v>
      </c>
      <c r="E72" s="22">
        <v>1</v>
      </c>
      <c r="F72" s="22"/>
      <c r="G72" s="22">
        <v>1</v>
      </c>
      <c r="H72" s="22"/>
      <c r="I72" s="22" t="s">
        <v>459</v>
      </c>
      <c r="J72" s="22" t="s">
        <v>212</v>
      </c>
      <c r="K72" s="15" t="s">
        <v>212</v>
      </c>
      <c r="L72" s="22">
        <v>1994</v>
      </c>
      <c r="M72" s="841"/>
      <c r="N72" s="195">
        <v>19422</v>
      </c>
      <c r="O72" s="195">
        <v>0</v>
      </c>
      <c r="P72" s="368">
        <f>N72+O72</f>
        <v>19422</v>
      </c>
    </row>
    <row r="73" spans="1:16" s="278" customFormat="1" ht="15" customHeight="1">
      <c r="A73" s="791"/>
      <c r="B73" s="795"/>
      <c r="C73" s="790"/>
      <c r="D73" s="1">
        <v>1</v>
      </c>
      <c r="E73" s="22"/>
      <c r="F73" s="22">
        <v>1</v>
      </c>
      <c r="G73" s="22"/>
      <c r="H73" s="22">
        <v>1</v>
      </c>
      <c r="I73" s="200" t="s">
        <v>351</v>
      </c>
      <c r="J73" s="22" t="s">
        <v>343</v>
      </c>
      <c r="K73" s="22"/>
      <c r="L73" s="22">
        <v>1970</v>
      </c>
      <c r="M73" s="1165"/>
      <c r="N73" s="1099">
        <v>10565.45</v>
      </c>
      <c r="O73" s="1099">
        <v>0</v>
      </c>
      <c r="P73" s="1104">
        <f>N73+O73</f>
        <v>10565.45</v>
      </c>
    </row>
    <row r="74" spans="1:16" s="278" customFormat="1" ht="15" customHeight="1">
      <c r="A74" s="794"/>
      <c r="B74" s="794"/>
      <c r="C74" s="790"/>
      <c r="D74" s="1">
        <v>1</v>
      </c>
      <c r="E74" s="22"/>
      <c r="F74" s="22">
        <v>1</v>
      </c>
      <c r="G74" s="22"/>
      <c r="H74" s="22">
        <v>1</v>
      </c>
      <c r="I74" s="1" t="s">
        <v>338</v>
      </c>
      <c r="J74" s="22" t="s">
        <v>343</v>
      </c>
      <c r="K74" s="15" t="s">
        <v>343</v>
      </c>
      <c r="L74" s="22">
        <v>1997</v>
      </c>
      <c r="M74" s="1165"/>
      <c r="N74" s="1099"/>
      <c r="O74" s="1099"/>
      <c r="P74" s="1104"/>
    </row>
    <row r="75" spans="1:16" s="278" customFormat="1" ht="15" customHeight="1">
      <c r="A75" s="794"/>
      <c r="B75" s="794"/>
      <c r="C75" s="790"/>
      <c r="D75" s="1"/>
      <c r="E75" s="22"/>
      <c r="F75" s="22"/>
      <c r="G75" s="22"/>
      <c r="H75" s="22"/>
      <c r="I75" s="22" t="s">
        <v>459</v>
      </c>
      <c r="J75" s="22" t="s">
        <v>343</v>
      </c>
      <c r="K75" s="15" t="s">
        <v>343</v>
      </c>
      <c r="L75" s="22">
        <v>1997</v>
      </c>
      <c r="M75" s="904"/>
      <c r="N75" s="195">
        <v>16619.2</v>
      </c>
      <c r="O75" s="195">
        <v>0</v>
      </c>
      <c r="P75" s="368">
        <v>16619.2</v>
      </c>
    </row>
    <row r="76" spans="1:16" s="278" customFormat="1" ht="15" customHeight="1">
      <c r="A76" s="897"/>
      <c r="B76" s="791"/>
      <c r="C76" s="790"/>
      <c r="D76" s="1">
        <v>1</v>
      </c>
      <c r="E76" s="22"/>
      <c r="F76" s="22">
        <v>1</v>
      </c>
      <c r="G76" s="22"/>
      <c r="H76" s="22">
        <v>1</v>
      </c>
      <c r="I76" s="22" t="s">
        <v>351</v>
      </c>
      <c r="J76" s="22" t="s">
        <v>18</v>
      </c>
      <c r="K76" s="22"/>
      <c r="L76" s="22">
        <v>1977</v>
      </c>
      <c r="M76" s="1167"/>
      <c r="N76" s="1099">
        <v>0</v>
      </c>
      <c r="O76" s="1099">
        <v>10452</v>
      </c>
      <c r="P76" s="1104">
        <f>N76+O76</f>
        <v>10452</v>
      </c>
    </row>
    <row r="77" spans="1:16" ht="15" customHeight="1">
      <c r="A77" s="791"/>
      <c r="B77" s="791"/>
      <c r="C77" s="790"/>
      <c r="D77" s="1">
        <v>1</v>
      </c>
      <c r="E77" s="22"/>
      <c r="F77" s="22">
        <v>1</v>
      </c>
      <c r="G77" s="22"/>
      <c r="H77" s="22">
        <v>1</v>
      </c>
      <c r="I77" s="22" t="s">
        <v>338</v>
      </c>
      <c r="J77" s="22" t="s">
        <v>212</v>
      </c>
      <c r="K77" s="22" t="s">
        <v>18</v>
      </c>
      <c r="L77" s="22">
        <v>2007</v>
      </c>
      <c r="M77" s="1167"/>
      <c r="N77" s="1099"/>
      <c r="O77" s="1099"/>
      <c r="P77" s="1104"/>
    </row>
    <row r="78" spans="1:16" ht="15" customHeight="1">
      <c r="A78" s="791"/>
      <c r="B78" s="791"/>
      <c r="C78" s="790"/>
      <c r="D78" s="1">
        <v>1</v>
      </c>
      <c r="E78" s="22">
        <v>1</v>
      </c>
      <c r="F78" s="22"/>
      <c r="G78" s="22"/>
      <c r="H78" s="22">
        <v>1</v>
      </c>
      <c r="I78" s="1" t="s">
        <v>418</v>
      </c>
      <c r="J78" s="22" t="s">
        <v>18</v>
      </c>
      <c r="K78" s="22" t="s">
        <v>18</v>
      </c>
      <c r="L78" s="22">
        <v>1997</v>
      </c>
      <c r="M78" s="1167"/>
      <c r="N78" s="1099"/>
      <c r="O78" s="1099"/>
      <c r="P78" s="1104"/>
    </row>
    <row r="79" spans="1:16" ht="15" customHeight="1">
      <c r="A79" s="791"/>
      <c r="B79" s="791"/>
      <c r="C79" s="790"/>
      <c r="D79" s="1">
        <v>1</v>
      </c>
      <c r="E79" s="285"/>
      <c r="F79" s="22">
        <v>1</v>
      </c>
      <c r="G79" s="22"/>
      <c r="H79" s="22">
        <v>1</v>
      </c>
      <c r="I79" s="22" t="s">
        <v>338</v>
      </c>
      <c r="J79" s="22" t="s">
        <v>18</v>
      </c>
      <c r="K79" s="22" t="s">
        <v>18</v>
      </c>
      <c r="L79" s="22">
        <v>1993</v>
      </c>
      <c r="M79" s="1167"/>
      <c r="N79" s="1099"/>
      <c r="O79" s="1099"/>
      <c r="P79" s="1104"/>
    </row>
    <row r="80" spans="1:16" s="278" customFormat="1" ht="15" customHeight="1">
      <c r="A80" s="794"/>
      <c r="B80" s="795"/>
      <c r="C80" s="790"/>
      <c r="D80" s="1">
        <v>1</v>
      </c>
      <c r="E80" s="22"/>
      <c r="F80" s="1">
        <v>1</v>
      </c>
      <c r="G80" s="1">
        <v>1</v>
      </c>
      <c r="H80" s="22"/>
      <c r="I80" s="200" t="s">
        <v>351</v>
      </c>
      <c r="J80" s="1" t="s">
        <v>212</v>
      </c>
      <c r="K80" s="1"/>
      <c r="L80" s="22">
        <v>1979</v>
      </c>
      <c r="M80" s="1174"/>
      <c r="N80" s="1099">
        <v>38348.27</v>
      </c>
      <c r="O80" s="1099">
        <v>0</v>
      </c>
      <c r="P80" s="1104">
        <f>N80+O80</f>
        <v>38348.27</v>
      </c>
    </row>
    <row r="81" spans="1:16" s="278" customFormat="1" ht="15" customHeight="1">
      <c r="A81" s="791"/>
      <c r="B81" s="791"/>
      <c r="C81" s="790"/>
      <c r="D81" s="1">
        <v>1</v>
      </c>
      <c r="E81" s="22">
        <v>1</v>
      </c>
      <c r="F81" s="22"/>
      <c r="G81" s="22">
        <v>1</v>
      </c>
      <c r="H81" s="22"/>
      <c r="I81" s="1" t="s">
        <v>418</v>
      </c>
      <c r="J81" s="22" t="s">
        <v>212</v>
      </c>
      <c r="K81" s="15" t="s">
        <v>354</v>
      </c>
      <c r="L81" s="22"/>
      <c r="M81" s="1174"/>
      <c r="N81" s="1099"/>
      <c r="O81" s="1099"/>
      <c r="P81" s="1104"/>
    </row>
    <row r="82" spans="1:16" s="278" customFormat="1" ht="15" customHeight="1">
      <c r="A82" s="791"/>
      <c r="B82" s="791"/>
      <c r="C82" s="790"/>
      <c r="D82" s="1">
        <v>1</v>
      </c>
      <c r="E82" s="22">
        <v>1</v>
      </c>
      <c r="F82" s="285"/>
      <c r="G82" s="285"/>
      <c r="H82" s="22">
        <v>1</v>
      </c>
      <c r="I82" s="22" t="s">
        <v>419</v>
      </c>
      <c r="J82" s="22" t="s">
        <v>427</v>
      </c>
      <c r="K82" s="15"/>
      <c r="L82" s="22">
        <v>1970</v>
      </c>
      <c r="M82" s="1165"/>
      <c r="N82" s="1099">
        <v>0</v>
      </c>
      <c r="O82" s="1099">
        <v>4078.4</v>
      </c>
      <c r="P82" s="1104">
        <f>N82+O82</f>
        <v>4078.4</v>
      </c>
    </row>
    <row r="83" spans="1:16" s="278" customFormat="1" ht="15" customHeight="1">
      <c r="A83" s="791"/>
      <c r="B83" s="791"/>
      <c r="C83" s="790"/>
      <c r="D83" s="1">
        <v>1</v>
      </c>
      <c r="E83" s="22"/>
      <c r="F83" s="22">
        <v>1</v>
      </c>
      <c r="G83" s="22"/>
      <c r="H83" s="22">
        <v>1</v>
      </c>
      <c r="I83" s="200" t="s">
        <v>351</v>
      </c>
      <c r="J83" s="22" t="s">
        <v>427</v>
      </c>
      <c r="K83" s="15"/>
      <c r="L83" s="22">
        <v>1980</v>
      </c>
      <c r="M83" s="1165"/>
      <c r="N83" s="1099"/>
      <c r="O83" s="1099"/>
      <c r="P83" s="1104"/>
    </row>
    <row r="84" spans="1:16" s="278" customFormat="1" ht="15" customHeight="1">
      <c r="A84" s="791"/>
      <c r="B84" s="791"/>
      <c r="C84" s="790"/>
      <c r="D84" s="1">
        <v>1</v>
      </c>
      <c r="E84" s="22">
        <v>1</v>
      </c>
      <c r="F84" s="22"/>
      <c r="G84" s="22"/>
      <c r="H84" s="22">
        <v>1</v>
      </c>
      <c r="I84" s="200" t="s">
        <v>418</v>
      </c>
      <c r="J84" s="22" t="s">
        <v>212</v>
      </c>
      <c r="K84" s="15" t="s">
        <v>427</v>
      </c>
      <c r="L84" s="22">
        <v>2009</v>
      </c>
      <c r="M84" s="1165"/>
      <c r="N84" s="1099"/>
      <c r="O84" s="1099"/>
      <c r="P84" s="1104"/>
    </row>
    <row r="85" spans="1:16" s="278" customFormat="1" ht="15" customHeight="1">
      <c r="A85" s="791"/>
      <c r="B85" s="791"/>
      <c r="C85" s="790"/>
      <c r="D85" s="1">
        <v>1</v>
      </c>
      <c r="E85" s="22"/>
      <c r="F85" s="22">
        <v>1</v>
      </c>
      <c r="G85" s="22"/>
      <c r="H85" s="22">
        <v>1</v>
      </c>
      <c r="I85" s="200" t="s">
        <v>338</v>
      </c>
      <c r="J85" s="22" t="s">
        <v>212</v>
      </c>
      <c r="K85" s="15" t="s">
        <v>427</v>
      </c>
      <c r="L85" s="22">
        <v>2002</v>
      </c>
      <c r="M85" s="1165"/>
      <c r="N85" s="1099"/>
      <c r="O85" s="1099"/>
      <c r="P85" s="1104"/>
    </row>
    <row r="86" spans="1:16" s="278" customFormat="1" ht="15" customHeight="1">
      <c r="A86" s="791"/>
      <c r="B86" s="795"/>
      <c r="C86" s="792"/>
      <c r="D86" s="1">
        <v>1</v>
      </c>
      <c r="E86" s="22"/>
      <c r="F86" s="22">
        <v>1</v>
      </c>
      <c r="G86" s="22"/>
      <c r="H86" s="22">
        <v>1</v>
      </c>
      <c r="I86" s="1" t="s">
        <v>351</v>
      </c>
      <c r="J86" s="22" t="s">
        <v>343</v>
      </c>
      <c r="K86" s="15"/>
      <c r="L86" s="22">
        <v>1980</v>
      </c>
      <c r="M86" s="1165"/>
      <c r="N86" s="1099">
        <v>7685.43</v>
      </c>
      <c r="O86" s="1099">
        <v>0</v>
      </c>
      <c r="P86" s="1104">
        <f>N86+O86</f>
        <v>7685.43</v>
      </c>
    </row>
    <row r="87" spans="1:16" s="278" customFormat="1" ht="15" customHeight="1">
      <c r="A87" s="791"/>
      <c r="B87" s="795"/>
      <c r="C87" s="792"/>
      <c r="D87" s="1">
        <v>1</v>
      </c>
      <c r="E87" s="22">
        <v>1</v>
      </c>
      <c r="F87" s="22"/>
      <c r="G87" s="22"/>
      <c r="H87" s="22">
        <v>1</v>
      </c>
      <c r="I87" s="200" t="s">
        <v>418</v>
      </c>
      <c r="J87" s="22" t="s">
        <v>212</v>
      </c>
      <c r="K87" s="22" t="s">
        <v>420</v>
      </c>
      <c r="L87" s="22">
        <v>2010</v>
      </c>
      <c r="M87" s="1165"/>
      <c r="N87" s="1099"/>
      <c r="O87" s="1099"/>
      <c r="P87" s="1104"/>
    </row>
    <row r="88" spans="1:16" s="278" customFormat="1" ht="15" customHeight="1">
      <c r="A88" s="791"/>
      <c r="B88" s="795"/>
      <c r="C88" s="792"/>
      <c r="D88" s="1">
        <v>1</v>
      </c>
      <c r="E88" s="22"/>
      <c r="F88" s="22">
        <v>1</v>
      </c>
      <c r="G88" s="22"/>
      <c r="H88" s="22">
        <v>1</v>
      </c>
      <c r="I88" s="22" t="s">
        <v>338</v>
      </c>
      <c r="J88" s="22" t="s">
        <v>327</v>
      </c>
      <c r="K88" s="22" t="s">
        <v>420</v>
      </c>
      <c r="L88" s="22">
        <v>2007</v>
      </c>
      <c r="M88" s="1165"/>
      <c r="N88" s="1099"/>
      <c r="O88" s="1099"/>
      <c r="P88" s="1104"/>
    </row>
    <row r="89" spans="1:16" s="278" customFormat="1" ht="15" customHeight="1">
      <c r="A89" s="791"/>
      <c r="B89" s="791"/>
      <c r="C89" s="790"/>
      <c r="D89" s="1">
        <v>1</v>
      </c>
      <c r="E89" s="22"/>
      <c r="F89" s="22">
        <v>1</v>
      </c>
      <c r="G89" s="22"/>
      <c r="H89" s="22">
        <v>1</v>
      </c>
      <c r="I89" s="200" t="s">
        <v>351</v>
      </c>
      <c r="J89" s="22" t="s">
        <v>343</v>
      </c>
      <c r="K89" s="22"/>
      <c r="L89" s="22">
        <v>1994</v>
      </c>
      <c r="M89" s="1167"/>
      <c r="N89" s="1099">
        <v>29299.91</v>
      </c>
      <c r="O89" s="1099">
        <v>0</v>
      </c>
      <c r="P89" s="1104">
        <f>N89+O89</f>
        <v>29299.91</v>
      </c>
    </row>
    <row r="90" spans="1:16" s="278" customFormat="1" ht="15" customHeight="1">
      <c r="A90" s="791"/>
      <c r="B90" s="791"/>
      <c r="C90" s="790"/>
      <c r="D90" s="1">
        <v>1</v>
      </c>
      <c r="E90" s="22">
        <v>1</v>
      </c>
      <c r="F90" s="22"/>
      <c r="G90" s="22"/>
      <c r="H90" s="22">
        <v>1</v>
      </c>
      <c r="I90" s="200" t="s">
        <v>418</v>
      </c>
      <c r="J90" s="22" t="s">
        <v>212</v>
      </c>
      <c r="K90" s="22" t="s">
        <v>343</v>
      </c>
      <c r="L90" s="22">
        <v>2010</v>
      </c>
      <c r="M90" s="1167"/>
      <c r="N90" s="1099"/>
      <c r="O90" s="1099"/>
      <c r="P90" s="1104"/>
    </row>
    <row r="91" spans="1:16" s="278" customFormat="1" ht="15" customHeight="1">
      <c r="A91" s="791"/>
      <c r="B91" s="791"/>
      <c r="C91" s="790"/>
      <c r="D91" s="1">
        <v>1</v>
      </c>
      <c r="E91" s="22">
        <v>1</v>
      </c>
      <c r="F91" s="22"/>
      <c r="G91" s="22"/>
      <c r="H91" s="22">
        <v>1</v>
      </c>
      <c r="I91" s="200" t="s">
        <v>459</v>
      </c>
      <c r="J91" s="22" t="s">
        <v>343</v>
      </c>
      <c r="K91" s="15" t="s">
        <v>343</v>
      </c>
      <c r="L91" s="22">
        <v>1997</v>
      </c>
      <c r="M91" s="841"/>
      <c r="N91" s="195">
        <v>41870.7</v>
      </c>
      <c r="O91" s="195">
        <v>0</v>
      </c>
      <c r="P91" s="368">
        <f>N91+O91</f>
        <v>41870.7</v>
      </c>
    </row>
    <row r="92" spans="1:16" s="280" customFormat="1" ht="15" customHeight="1">
      <c r="A92" s="791"/>
      <c r="B92" s="791"/>
      <c r="C92" s="790"/>
      <c r="D92" s="1">
        <v>1</v>
      </c>
      <c r="E92" s="22"/>
      <c r="F92" s="22">
        <v>1</v>
      </c>
      <c r="G92" s="22"/>
      <c r="H92" s="22">
        <v>1</v>
      </c>
      <c r="I92" s="200" t="s">
        <v>351</v>
      </c>
      <c r="J92" s="22" t="s">
        <v>498</v>
      </c>
      <c r="K92" s="15" t="s">
        <v>498</v>
      </c>
      <c r="L92" s="22">
        <v>1994</v>
      </c>
      <c r="M92" s="1167"/>
      <c r="N92" s="1099">
        <v>56871.86</v>
      </c>
      <c r="O92" s="1099">
        <v>0</v>
      </c>
      <c r="P92" s="1104">
        <f>N92+O92</f>
        <v>56871.86</v>
      </c>
    </row>
    <row r="93" spans="1:16" s="280" customFormat="1" ht="15" customHeight="1">
      <c r="A93" s="791"/>
      <c r="B93" s="791"/>
      <c r="C93" s="790"/>
      <c r="D93" s="1">
        <v>1</v>
      </c>
      <c r="E93" s="22">
        <v>1</v>
      </c>
      <c r="F93" s="22"/>
      <c r="G93" s="22"/>
      <c r="H93" s="22">
        <v>1</v>
      </c>
      <c r="I93" s="200" t="s">
        <v>418</v>
      </c>
      <c r="J93" s="22" t="s">
        <v>212</v>
      </c>
      <c r="K93" s="15" t="s">
        <v>498</v>
      </c>
      <c r="L93" s="22">
        <v>2012</v>
      </c>
      <c r="M93" s="1167"/>
      <c r="N93" s="1099"/>
      <c r="O93" s="1099"/>
      <c r="P93" s="1104"/>
    </row>
    <row r="94" spans="1:16" s="280" customFormat="1" ht="15" customHeight="1">
      <c r="A94" s="791"/>
      <c r="B94" s="791"/>
      <c r="C94" s="790"/>
      <c r="D94" s="1">
        <v>1</v>
      </c>
      <c r="E94" s="22"/>
      <c r="F94" s="22">
        <v>1</v>
      </c>
      <c r="G94" s="22"/>
      <c r="H94" s="22">
        <v>1</v>
      </c>
      <c r="I94" s="200" t="s">
        <v>351</v>
      </c>
      <c r="J94" s="22" t="s">
        <v>18</v>
      </c>
      <c r="K94" s="15"/>
      <c r="L94" s="22">
        <v>1974</v>
      </c>
      <c r="M94" s="1167"/>
      <c r="N94" s="1099">
        <v>0</v>
      </c>
      <c r="O94" s="1099">
        <v>10748.57</v>
      </c>
      <c r="P94" s="1104">
        <f>N94+O94</f>
        <v>10748.57</v>
      </c>
    </row>
    <row r="95" spans="1:16" s="280" customFormat="1" ht="15" customHeight="1">
      <c r="A95" s="791"/>
      <c r="B95" s="791"/>
      <c r="C95" s="790"/>
      <c r="D95" s="1">
        <v>1</v>
      </c>
      <c r="E95" s="22">
        <v>1</v>
      </c>
      <c r="F95" s="22"/>
      <c r="G95" s="22"/>
      <c r="H95" s="22">
        <v>1</v>
      </c>
      <c r="I95" s="200" t="s">
        <v>418</v>
      </c>
      <c r="J95" s="22" t="s">
        <v>212</v>
      </c>
      <c r="K95" s="22" t="s">
        <v>18</v>
      </c>
      <c r="L95" s="22">
        <v>1999</v>
      </c>
      <c r="M95" s="1167"/>
      <c r="N95" s="1099"/>
      <c r="O95" s="1099"/>
      <c r="P95" s="1104"/>
    </row>
    <row r="96" spans="1:16" s="280" customFormat="1" ht="15" customHeight="1">
      <c r="A96" s="794"/>
      <c r="B96" s="794"/>
      <c r="C96" s="790"/>
      <c r="D96" s="1">
        <v>1</v>
      </c>
      <c r="E96" s="22"/>
      <c r="F96" s="22">
        <v>1</v>
      </c>
      <c r="G96" s="22">
        <v>1</v>
      </c>
      <c r="H96" s="22"/>
      <c r="I96" s="200" t="s">
        <v>459</v>
      </c>
      <c r="J96" s="15" t="s">
        <v>212</v>
      </c>
      <c r="K96" s="15" t="s">
        <v>212</v>
      </c>
      <c r="L96" s="22">
        <v>1994</v>
      </c>
      <c r="M96" s="841"/>
      <c r="N96" s="195">
        <v>21179.6</v>
      </c>
      <c r="O96" s="195">
        <v>0</v>
      </c>
      <c r="P96" s="368">
        <f>N96+O96</f>
        <v>21179.6</v>
      </c>
    </row>
    <row r="97" spans="1:16" s="280" customFormat="1" ht="15" customHeight="1">
      <c r="A97" s="1126" t="s">
        <v>458</v>
      </c>
      <c r="B97" s="1127"/>
      <c r="C97" s="15"/>
      <c r="D97" s="1"/>
      <c r="E97" s="22"/>
      <c r="F97" s="22"/>
      <c r="G97" s="22"/>
      <c r="H97" s="22"/>
      <c r="I97" s="200"/>
      <c r="J97" s="15"/>
      <c r="K97" s="15"/>
      <c r="L97" s="22"/>
      <c r="M97" s="22"/>
      <c r="N97" s="195">
        <v>1040.52</v>
      </c>
      <c r="O97" s="195">
        <v>0</v>
      </c>
      <c r="P97" s="368">
        <f>N97+O97</f>
        <v>1040.52</v>
      </c>
    </row>
    <row r="98" spans="1:16" s="213" customFormat="1" ht="15" customHeight="1">
      <c r="A98" s="1030" t="s">
        <v>8</v>
      </c>
      <c r="B98" s="1030"/>
      <c r="C98" s="205"/>
      <c r="D98" s="205">
        <f>SUM(D15:D96)</f>
        <v>80</v>
      </c>
      <c r="E98" s="205">
        <f>SUM(E15:E96)</f>
        <v>28</v>
      </c>
      <c r="F98" s="205">
        <f>SUM(F15:F96)</f>
        <v>52</v>
      </c>
      <c r="G98" s="205">
        <f>SUM(G15:G96)</f>
        <v>19</v>
      </c>
      <c r="H98" s="205">
        <f>SUM(H15:H96)</f>
        <v>61</v>
      </c>
      <c r="I98" s="205"/>
      <c r="J98" s="205"/>
      <c r="K98" s="205"/>
      <c r="L98" s="205"/>
      <c r="M98" s="596"/>
      <c r="N98" s="204">
        <f>SUM(N15:N97)</f>
        <v>712289.9500000001</v>
      </c>
      <c r="O98" s="204">
        <f>SUM(O16:O96)</f>
        <v>150775.03</v>
      </c>
      <c r="P98" s="204">
        <f>SUM(P15:P97)</f>
        <v>863064.98</v>
      </c>
    </row>
    <row r="99" spans="1:16" s="4" customFormat="1" ht="15" customHeight="1">
      <c r="A99" s="1027" t="s">
        <v>67</v>
      </c>
      <c r="B99" s="1027"/>
      <c r="C99" s="87"/>
      <c r="D99" s="87"/>
      <c r="E99" s="300"/>
      <c r="F99" s="87"/>
      <c r="G99" s="87"/>
      <c r="H99" s="87"/>
      <c r="I99" s="87"/>
      <c r="J99" s="87"/>
      <c r="K99" s="87"/>
      <c r="L99" s="87"/>
      <c r="M99" s="103"/>
      <c r="N99" s="196"/>
      <c r="O99" s="196"/>
      <c r="P99" s="211"/>
    </row>
    <row r="100" spans="1:16" s="50" customFormat="1" ht="57" customHeight="1">
      <c r="A100" s="39" t="s">
        <v>332</v>
      </c>
      <c r="B100" s="39" t="s">
        <v>333</v>
      </c>
      <c r="C100" s="39" t="s">
        <v>213</v>
      </c>
      <c r="D100" s="115" t="s">
        <v>36</v>
      </c>
      <c r="E100" s="115" t="s">
        <v>73</v>
      </c>
      <c r="F100" s="115" t="s">
        <v>74</v>
      </c>
      <c r="G100" s="115" t="s">
        <v>37</v>
      </c>
      <c r="H100" s="115" t="s">
        <v>38</v>
      </c>
      <c r="I100" s="39"/>
      <c r="J100" s="115" t="s">
        <v>15</v>
      </c>
      <c r="K100" s="115" t="s">
        <v>214</v>
      </c>
      <c r="L100" s="115" t="s">
        <v>39</v>
      </c>
      <c r="M100" s="115" t="s">
        <v>76</v>
      </c>
      <c r="N100" s="360" t="s">
        <v>508</v>
      </c>
      <c r="O100" s="607" t="s">
        <v>509</v>
      </c>
      <c r="P100" s="595" t="s">
        <v>58</v>
      </c>
    </row>
    <row r="101" spans="1:16" s="278" customFormat="1" ht="15" customHeight="1">
      <c r="A101" s="791"/>
      <c r="B101" s="791"/>
      <c r="C101" s="790"/>
      <c r="D101" s="1">
        <v>1</v>
      </c>
      <c r="E101" s="1">
        <v>1</v>
      </c>
      <c r="F101" s="1"/>
      <c r="G101" s="1"/>
      <c r="H101" s="1">
        <v>1</v>
      </c>
      <c r="I101" s="1" t="s">
        <v>459</v>
      </c>
      <c r="J101" s="22" t="s">
        <v>326</v>
      </c>
      <c r="K101" s="15" t="s">
        <v>326</v>
      </c>
      <c r="L101" s="22">
        <v>1995</v>
      </c>
      <c r="M101" s="790"/>
      <c r="N101" s="195">
        <v>45676.8</v>
      </c>
      <c r="O101" s="195">
        <v>0</v>
      </c>
      <c r="P101" s="368">
        <f>N101+O101</f>
        <v>45676.8</v>
      </c>
    </row>
    <row r="102" spans="1:16" s="278" customFormat="1" ht="15" customHeight="1">
      <c r="A102" s="791"/>
      <c r="B102" s="791"/>
      <c r="C102" s="790"/>
      <c r="D102" s="1">
        <v>1</v>
      </c>
      <c r="E102" s="22">
        <v>1</v>
      </c>
      <c r="F102" s="22"/>
      <c r="G102" s="1">
        <v>1</v>
      </c>
      <c r="H102" s="1"/>
      <c r="I102" s="1" t="s">
        <v>421</v>
      </c>
      <c r="J102" s="22" t="s">
        <v>212</v>
      </c>
      <c r="K102" s="15" t="s">
        <v>212</v>
      </c>
      <c r="L102" s="22">
        <v>1993</v>
      </c>
      <c r="M102" s="790"/>
      <c r="N102" s="195">
        <v>21445.76</v>
      </c>
      <c r="O102" s="195">
        <v>0</v>
      </c>
      <c r="P102" s="368">
        <f>N102+O102</f>
        <v>21445.76</v>
      </c>
    </row>
    <row r="103" spans="1:16" s="278" customFormat="1" ht="15" customHeight="1">
      <c r="A103" s="794"/>
      <c r="B103" s="795"/>
      <c r="C103" s="841"/>
      <c r="D103" s="1">
        <v>1</v>
      </c>
      <c r="E103" s="22"/>
      <c r="F103" s="22">
        <v>1</v>
      </c>
      <c r="G103" s="1"/>
      <c r="H103" s="1">
        <v>1</v>
      </c>
      <c r="I103" s="200" t="s">
        <v>351</v>
      </c>
      <c r="J103" s="22" t="s">
        <v>18</v>
      </c>
      <c r="K103" s="15"/>
      <c r="L103" s="1">
        <v>1989</v>
      </c>
      <c r="M103" s="1167"/>
      <c r="N103" s="1099">
        <v>5924.41</v>
      </c>
      <c r="O103" s="1099">
        <v>0</v>
      </c>
      <c r="P103" s="1104">
        <f>N103+O103</f>
        <v>5924.41</v>
      </c>
    </row>
    <row r="104" spans="1:16" s="278" customFormat="1" ht="15" customHeight="1">
      <c r="A104" s="794"/>
      <c r="B104" s="794"/>
      <c r="C104" s="790"/>
      <c r="D104" s="1">
        <v>1</v>
      </c>
      <c r="E104" s="1"/>
      <c r="F104" s="1">
        <v>1</v>
      </c>
      <c r="G104" s="1"/>
      <c r="H104" s="1">
        <v>1</v>
      </c>
      <c r="I104" s="1" t="s">
        <v>338</v>
      </c>
      <c r="J104" s="22" t="s">
        <v>212</v>
      </c>
      <c r="K104" s="22" t="s">
        <v>18</v>
      </c>
      <c r="L104" s="1">
        <v>2010</v>
      </c>
      <c r="M104" s="1167"/>
      <c r="N104" s="1099"/>
      <c r="O104" s="1099"/>
      <c r="P104" s="1104"/>
    </row>
    <row r="105" spans="1:16" s="278" customFormat="1" ht="15" customHeight="1">
      <c r="A105" s="1126" t="s">
        <v>458</v>
      </c>
      <c r="B105" s="1127"/>
      <c r="C105" s="15"/>
      <c r="D105" s="1"/>
      <c r="E105" s="1"/>
      <c r="F105" s="1"/>
      <c r="G105" s="1"/>
      <c r="H105" s="1"/>
      <c r="I105" s="1"/>
      <c r="J105" s="22"/>
      <c r="K105" s="22"/>
      <c r="L105" s="1"/>
      <c r="M105" s="1"/>
      <c r="N105" s="195">
        <v>1040.4</v>
      </c>
      <c r="O105" s="195"/>
      <c r="P105" s="368">
        <v>1040.4</v>
      </c>
    </row>
    <row r="106" spans="1:16" s="213" customFormat="1" ht="15" customHeight="1">
      <c r="A106" s="1030" t="s">
        <v>95</v>
      </c>
      <c r="B106" s="1030"/>
      <c r="C106" s="205"/>
      <c r="D106" s="205">
        <f>SUM(D101:D104)</f>
        <v>4</v>
      </c>
      <c r="E106" s="205">
        <f>SUM(E101:E104)</f>
        <v>2</v>
      </c>
      <c r="F106" s="205">
        <f>SUM(F101:F104)</f>
        <v>2</v>
      </c>
      <c r="G106" s="205">
        <f>SUM(G101:G104)</f>
        <v>1</v>
      </c>
      <c r="H106" s="205">
        <f>SUM(H101:H104)</f>
        <v>3</v>
      </c>
      <c r="I106" s="205"/>
      <c r="J106" s="205"/>
      <c r="K106" s="205"/>
      <c r="L106" s="205"/>
      <c r="M106" s="500"/>
      <c r="N106" s="204">
        <f>SUM(N101:N105)</f>
        <v>74087.37</v>
      </c>
      <c r="O106" s="204">
        <f>SUM(O101:O104)</f>
        <v>0</v>
      </c>
      <c r="P106" s="204">
        <f>SUM(P101:P105)</f>
        <v>74087.37</v>
      </c>
    </row>
    <row r="107" spans="1:16" s="4" customFormat="1" ht="15" customHeight="1">
      <c r="A107" s="1027" t="s">
        <v>68</v>
      </c>
      <c r="B107" s="1027"/>
      <c r="C107" s="87"/>
      <c r="D107" s="87"/>
      <c r="E107" s="300"/>
      <c r="F107" s="87"/>
      <c r="G107" s="87"/>
      <c r="H107" s="87"/>
      <c r="I107" s="87"/>
      <c r="J107" s="87"/>
      <c r="K107" s="87"/>
      <c r="L107" s="87"/>
      <c r="M107" s="103"/>
      <c r="N107" s="196"/>
      <c r="O107" s="196"/>
      <c r="P107" s="211"/>
    </row>
    <row r="108" spans="1:16" s="50" customFormat="1" ht="57" customHeight="1">
      <c r="A108" s="39" t="s">
        <v>332</v>
      </c>
      <c r="B108" s="39" t="s">
        <v>333</v>
      </c>
      <c r="C108" s="39" t="s">
        <v>213</v>
      </c>
      <c r="D108" s="115" t="s">
        <v>36</v>
      </c>
      <c r="E108" s="115" t="s">
        <v>73</v>
      </c>
      <c r="F108" s="115" t="s">
        <v>74</v>
      </c>
      <c r="G108" s="115" t="s">
        <v>37</v>
      </c>
      <c r="H108" s="115" t="s">
        <v>38</v>
      </c>
      <c r="I108" s="39"/>
      <c r="J108" s="115" t="s">
        <v>15</v>
      </c>
      <c r="K108" s="115" t="s">
        <v>214</v>
      </c>
      <c r="L108" s="115" t="s">
        <v>39</v>
      </c>
      <c r="M108" s="115" t="s">
        <v>76</v>
      </c>
      <c r="N108" s="360" t="s">
        <v>508</v>
      </c>
      <c r="O108" s="607" t="s">
        <v>509</v>
      </c>
      <c r="P108" s="595" t="s">
        <v>58</v>
      </c>
    </row>
    <row r="109" spans="1:17" s="437" customFormat="1" ht="15" customHeight="1">
      <c r="A109" s="789"/>
      <c r="B109" s="789"/>
      <c r="C109" s="834"/>
      <c r="D109" s="357">
        <v>1</v>
      </c>
      <c r="E109" s="434">
        <v>1</v>
      </c>
      <c r="F109" s="434"/>
      <c r="G109" s="357"/>
      <c r="H109" s="434">
        <v>1</v>
      </c>
      <c r="I109" s="434" t="s">
        <v>419</v>
      </c>
      <c r="J109" s="434" t="s">
        <v>18</v>
      </c>
      <c r="K109" s="439" t="s">
        <v>18</v>
      </c>
      <c r="L109" s="434">
        <v>1974</v>
      </c>
      <c r="M109" s="1173"/>
      <c r="N109" s="1115">
        <v>0</v>
      </c>
      <c r="O109" s="1115">
        <v>15240.36</v>
      </c>
      <c r="P109" s="1115">
        <f>N109+O109</f>
        <v>15240.36</v>
      </c>
      <c r="Q109" s="436"/>
    </row>
    <row r="110" spans="1:17" s="437" customFormat="1" ht="15" customHeight="1">
      <c r="A110" s="789"/>
      <c r="B110" s="789"/>
      <c r="C110" s="835"/>
      <c r="D110" s="357">
        <v>1</v>
      </c>
      <c r="E110" s="434"/>
      <c r="F110" s="357">
        <v>1</v>
      </c>
      <c r="G110" s="357"/>
      <c r="H110" s="434">
        <v>1</v>
      </c>
      <c r="I110" s="434" t="s">
        <v>351</v>
      </c>
      <c r="J110" s="434" t="s">
        <v>18</v>
      </c>
      <c r="K110" s="440" t="s">
        <v>18</v>
      </c>
      <c r="L110" s="434">
        <v>1982</v>
      </c>
      <c r="M110" s="1173"/>
      <c r="N110" s="1115"/>
      <c r="O110" s="1115"/>
      <c r="P110" s="1115"/>
      <c r="Q110" s="436"/>
    </row>
    <row r="111" spans="1:17" s="437" customFormat="1" ht="15" customHeight="1">
      <c r="A111" s="789"/>
      <c r="B111" s="789"/>
      <c r="C111" s="834"/>
      <c r="D111" s="357">
        <v>1</v>
      </c>
      <c r="E111" s="434"/>
      <c r="F111" s="357">
        <v>1</v>
      </c>
      <c r="G111" s="434"/>
      <c r="H111" s="357">
        <v>1</v>
      </c>
      <c r="I111" s="434" t="s">
        <v>338</v>
      </c>
      <c r="J111" s="434" t="s">
        <v>212</v>
      </c>
      <c r="K111" s="439" t="s">
        <v>18</v>
      </c>
      <c r="L111" s="434">
        <v>2011</v>
      </c>
      <c r="M111" s="1173"/>
      <c r="N111" s="1115"/>
      <c r="O111" s="1115"/>
      <c r="P111" s="1115"/>
      <c r="Q111" s="436"/>
    </row>
    <row r="112" spans="1:17" s="437" customFormat="1" ht="15" customHeight="1">
      <c r="A112" s="789"/>
      <c r="B112" s="789"/>
      <c r="C112" s="834"/>
      <c r="D112" s="357">
        <v>1</v>
      </c>
      <c r="E112" s="434"/>
      <c r="F112" s="357">
        <v>1</v>
      </c>
      <c r="G112" s="434"/>
      <c r="H112" s="357">
        <v>1</v>
      </c>
      <c r="I112" s="434" t="s">
        <v>338</v>
      </c>
      <c r="J112" s="434" t="s">
        <v>212</v>
      </c>
      <c r="K112" s="439" t="s">
        <v>18</v>
      </c>
      <c r="L112" s="434">
        <v>2009</v>
      </c>
      <c r="M112" s="1173"/>
      <c r="N112" s="1115"/>
      <c r="O112" s="1115"/>
      <c r="P112" s="1115"/>
      <c r="Q112" s="436"/>
    </row>
    <row r="113" spans="1:17" s="437" customFormat="1" ht="15" customHeight="1">
      <c r="A113" s="789"/>
      <c r="B113" s="789"/>
      <c r="C113" s="834"/>
      <c r="D113" s="357">
        <v>1</v>
      </c>
      <c r="E113" s="434"/>
      <c r="F113" s="357">
        <v>1</v>
      </c>
      <c r="G113" s="434"/>
      <c r="H113" s="357">
        <v>1</v>
      </c>
      <c r="I113" s="434" t="s">
        <v>351</v>
      </c>
      <c r="J113" s="434" t="s">
        <v>18</v>
      </c>
      <c r="K113" s="439"/>
      <c r="L113" s="357">
        <v>1975</v>
      </c>
      <c r="M113" s="1172"/>
      <c r="N113" s="1115">
        <v>0</v>
      </c>
      <c r="O113" s="1115">
        <v>1825</v>
      </c>
      <c r="P113" s="1115">
        <f>N113+O113</f>
        <v>1825</v>
      </c>
      <c r="Q113" s="436"/>
    </row>
    <row r="114" spans="1:17" s="437" customFormat="1" ht="15" customHeight="1">
      <c r="A114" s="789"/>
      <c r="B114" s="789"/>
      <c r="C114" s="834"/>
      <c r="D114" s="357">
        <v>1</v>
      </c>
      <c r="E114" s="434"/>
      <c r="F114" s="357">
        <v>1</v>
      </c>
      <c r="G114" s="434"/>
      <c r="H114" s="357">
        <v>1</v>
      </c>
      <c r="I114" s="434" t="s">
        <v>338</v>
      </c>
      <c r="J114" s="434" t="s">
        <v>18</v>
      </c>
      <c r="K114" s="439" t="s">
        <v>18</v>
      </c>
      <c r="L114" s="434">
        <v>1994</v>
      </c>
      <c r="M114" s="1172"/>
      <c r="N114" s="1115"/>
      <c r="O114" s="1115"/>
      <c r="P114" s="1115"/>
      <c r="Q114" s="436"/>
    </row>
    <row r="115" spans="1:17" s="437" customFormat="1" ht="15" customHeight="1">
      <c r="A115" s="789"/>
      <c r="B115" s="789"/>
      <c r="C115" s="834"/>
      <c r="D115" s="357">
        <v>1</v>
      </c>
      <c r="E115" s="434"/>
      <c r="F115" s="357">
        <v>1</v>
      </c>
      <c r="G115" s="434"/>
      <c r="H115" s="357">
        <v>1</v>
      </c>
      <c r="I115" s="434" t="s">
        <v>338</v>
      </c>
      <c r="J115" s="434" t="s">
        <v>18</v>
      </c>
      <c r="K115" s="439" t="s">
        <v>18</v>
      </c>
      <c r="L115" s="434">
        <v>2002</v>
      </c>
      <c r="M115" s="1172"/>
      <c r="N115" s="1115"/>
      <c r="O115" s="1115"/>
      <c r="P115" s="1115"/>
      <c r="Q115" s="436"/>
    </row>
    <row r="116" spans="1:17" s="437" customFormat="1" ht="15" customHeight="1">
      <c r="A116" s="789"/>
      <c r="B116" s="789"/>
      <c r="C116" s="834"/>
      <c r="D116" s="357">
        <v>1</v>
      </c>
      <c r="E116" s="357"/>
      <c r="F116" s="434">
        <v>1</v>
      </c>
      <c r="G116" s="434"/>
      <c r="H116" s="357">
        <v>1</v>
      </c>
      <c r="I116" s="434" t="s">
        <v>351</v>
      </c>
      <c r="J116" s="434" t="s">
        <v>18</v>
      </c>
      <c r="K116" s="439" t="s">
        <v>18</v>
      </c>
      <c r="L116" s="434">
        <v>1977</v>
      </c>
      <c r="M116" s="1172"/>
      <c r="N116" s="1115">
        <v>25295.72</v>
      </c>
      <c r="O116" s="1115">
        <v>0</v>
      </c>
      <c r="P116" s="1115">
        <f>N116+O116</f>
        <v>25295.72</v>
      </c>
      <c r="Q116" s="436"/>
    </row>
    <row r="117" spans="1:17" s="437" customFormat="1" ht="15" customHeight="1">
      <c r="A117" s="789"/>
      <c r="B117" s="789"/>
      <c r="C117" s="835"/>
      <c r="D117" s="357">
        <v>1</v>
      </c>
      <c r="E117" s="357">
        <v>1</v>
      </c>
      <c r="F117" s="434"/>
      <c r="G117" s="434"/>
      <c r="H117" s="357">
        <v>1</v>
      </c>
      <c r="I117" s="434" t="s">
        <v>418</v>
      </c>
      <c r="J117" s="434" t="s">
        <v>212</v>
      </c>
      <c r="K117" s="440" t="s">
        <v>18</v>
      </c>
      <c r="L117" s="434">
        <v>2001</v>
      </c>
      <c r="M117" s="1172"/>
      <c r="N117" s="1115"/>
      <c r="O117" s="1115"/>
      <c r="P117" s="1115"/>
      <c r="Q117" s="436"/>
    </row>
    <row r="118" spans="1:17" s="437" customFormat="1" ht="15" customHeight="1">
      <c r="A118" s="789"/>
      <c r="B118" s="789"/>
      <c r="C118" s="835"/>
      <c r="D118" s="357">
        <v>1</v>
      </c>
      <c r="E118" s="434">
        <v>1</v>
      </c>
      <c r="F118" s="434"/>
      <c r="G118" s="434"/>
      <c r="H118" s="357">
        <v>1</v>
      </c>
      <c r="I118" s="434" t="s">
        <v>418</v>
      </c>
      <c r="J118" s="357" t="s">
        <v>212</v>
      </c>
      <c r="K118" s="440" t="s">
        <v>18</v>
      </c>
      <c r="L118" s="434">
        <v>2010</v>
      </c>
      <c r="M118" s="1172"/>
      <c r="N118" s="1115"/>
      <c r="O118" s="1115"/>
      <c r="P118" s="1115"/>
      <c r="Q118" s="436"/>
    </row>
    <row r="119" spans="1:17" s="437" customFormat="1" ht="15" customHeight="1">
      <c r="A119" s="789"/>
      <c r="B119" s="789"/>
      <c r="C119" s="835"/>
      <c r="D119" s="357">
        <v>1</v>
      </c>
      <c r="E119" s="357"/>
      <c r="F119" s="357">
        <v>1</v>
      </c>
      <c r="G119" s="357">
        <v>1</v>
      </c>
      <c r="H119" s="434"/>
      <c r="I119" s="434" t="s">
        <v>351</v>
      </c>
      <c r="J119" s="357" t="s">
        <v>212</v>
      </c>
      <c r="K119" s="440"/>
      <c r="L119" s="434">
        <v>1973</v>
      </c>
      <c r="M119" s="1171"/>
      <c r="N119" s="1115">
        <v>29890.28</v>
      </c>
      <c r="O119" s="1115">
        <v>0</v>
      </c>
      <c r="P119" s="1115">
        <f>N119+O119</f>
        <v>29890.28</v>
      </c>
      <c r="Q119" s="436"/>
    </row>
    <row r="120" spans="1:17" s="437" customFormat="1" ht="15" customHeight="1">
      <c r="A120" s="789"/>
      <c r="B120" s="789"/>
      <c r="C120" s="834"/>
      <c r="D120" s="357">
        <v>1</v>
      </c>
      <c r="E120" s="434">
        <v>1</v>
      </c>
      <c r="F120" s="434"/>
      <c r="G120" s="357">
        <v>1</v>
      </c>
      <c r="H120" s="434"/>
      <c r="I120" s="324" t="s">
        <v>418</v>
      </c>
      <c r="J120" s="434" t="s">
        <v>212</v>
      </c>
      <c r="K120" s="439" t="s">
        <v>212</v>
      </c>
      <c r="L120" s="434">
        <v>2005</v>
      </c>
      <c r="M120" s="1171"/>
      <c r="N120" s="1115"/>
      <c r="O120" s="1115"/>
      <c r="P120" s="1115"/>
      <c r="Q120" s="436"/>
    </row>
    <row r="121" spans="1:17" s="437" customFormat="1" ht="15" customHeight="1">
      <c r="A121" s="789"/>
      <c r="B121" s="789"/>
      <c r="C121" s="834"/>
      <c r="D121" s="357"/>
      <c r="E121" s="434"/>
      <c r="F121" s="434"/>
      <c r="G121" s="357"/>
      <c r="H121" s="434"/>
      <c r="I121" s="324" t="s">
        <v>452</v>
      </c>
      <c r="J121" s="434" t="s">
        <v>212</v>
      </c>
      <c r="K121" s="439"/>
      <c r="L121" s="434">
        <v>1973</v>
      </c>
      <c r="M121" s="905"/>
      <c r="N121" s="325">
        <v>3493.84</v>
      </c>
      <c r="O121" s="325">
        <v>0</v>
      </c>
      <c r="P121" s="325">
        <f>N121+O121</f>
        <v>3493.84</v>
      </c>
      <c r="Q121" s="436"/>
    </row>
    <row r="122" spans="1:17" s="437" customFormat="1" ht="15" customHeight="1">
      <c r="A122" s="789"/>
      <c r="B122" s="789"/>
      <c r="C122" s="835"/>
      <c r="D122" s="357">
        <v>1</v>
      </c>
      <c r="E122" s="434">
        <v>1</v>
      </c>
      <c r="F122" s="434"/>
      <c r="G122" s="357"/>
      <c r="H122" s="357">
        <v>1</v>
      </c>
      <c r="I122" s="434" t="s">
        <v>459</v>
      </c>
      <c r="J122" s="434" t="s">
        <v>212</v>
      </c>
      <c r="K122" s="440" t="s">
        <v>18</v>
      </c>
      <c r="L122" s="434">
        <v>1995</v>
      </c>
      <c r="M122" s="834"/>
      <c r="N122" s="325">
        <v>17198.1</v>
      </c>
      <c r="O122" s="325">
        <v>0</v>
      </c>
      <c r="P122" s="325">
        <f>N122+O122</f>
        <v>17198.1</v>
      </c>
      <c r="Q122" s="436"/>
    </row>
    <row r="123" spans="1:16" s="443" customFormat="1" ht="15" customHeight="1">
      <c r="A123" s="789"/>
      <c r="B123" s="789"/>
      <c r="C123" s="835"/>
      <c r="D123" s="434">
        <v>1</v>
      </c>
      <c r="E123" s="434">
        <v>1</v>
      </c>
      <c r="F123" s="435"/>
      <c r="G123" s="357"/>
      <c r="H123" s="357">
        <v>1</v>
      </c>
      <c r="I123" s="434" t="s">
        <v>459</v>
      </c>
      <c r="J123" s="434" t="s">
        <v>212</v>
      </c>
      <c r="K123" s="440" t="s">
        <v>18</v>
      </c>
      <c r="L123" s="434">
        <v>1995</v>
      </c>
      <c r="M123" s="906"/>
      <c r="N123" s="441">
        <v>57096</v>
      </c>
      <c r="O123" s="441">
        <v>0</v>
      </c>
      <c r="P123" s="441">
        <f>N123+O123</f>
        <v>57096</v>
      </c>
    </row>
    <row r="124" spans="1:16" s="443" customFormat="1" ht="15" customHeight="1">
      <c r="A124" s="789"/>
      <c r="B124" s="789"/>
      <c r="C124" s="835"/>
      <c r="D124" s="446">
        <v>1</v>
      </c>
      <c r="E124" s="446"/>
      <c r="F124" s="357">
        <v>1</v>
      </c>
      <c r="G124" s="445"/>
      <c r="H124" s="357">
        <v>1</v>
      </c>
      <c r="I124" s="446" t="s">
        <v>351</v>
      </c>
      <c r="J124" s="434" t="s">
        <v>20</v>
      </c>
      <c r="K124" s="440" t="s">
        <v>20</v>
      </c>
      <c r="L124" s="434">
        <v>1976</v>
      </c>
      <c r="M124" s="1169"/>
      <c r="N124" s="1170">
        <v>0</v>
      </c>
      <c r="O124" s="1170">
        <v>15515.14</v>
      </c>
      <c r="P124" s="1170">
        <f>N124+O124</f>
        <v>15515.14</v>
      </c>
    </row>
    <row r="125" spans="1:16" s="443" customFormat="1" ht="15" customHeight="1">
      <c r="A125" s="789"/>
      <c r="B125" s="789"/>
      <c r="C125" s="835"/>
      <c r="D125" s="446">
        <v>1</v>
      </c>
      <c r="E125" s="446"/>
      <c r="F125" s="357">
        <v>1</v>
      </c>
      <c r="G125" s="445"/>
      <c r="H125" s="357">
        <v>1</v>
      </c>
      <c r="I125" s="446" t="s">
        <v>338</v>
      </c>
      <c r="J125" s="434" t="s">
        <v>20</v>
      </c>
      <c r="K125" s="440" t="s">
        <v>20</v>
      </c>
      <c r="L125" s="434">
        <v>2000</v>
      </c>
      <c r="M125" s="1169"/>
      <c r="N125" s="1170"/>
      <c r="O125" s="1170"/>
      <c r="P125" s="1170"/>
    </row>
    <row r="126" spans="1:16" s="443" customFormat="1" ht="15" customHeight="1">
      <c r="A126" s="789"/>
      <c r="B126" s="789"/>
      <c r="C126" s="835"/>
      <c r="D126" s="446">
        <v>1</v>
      </c>
      <c r="E126" s="446">
        <v>1</v>
      </c>
      <c r="F126" s="442"/>
      <c r="G126" s="445"/>
      <c r="H126" s="357">
        <v>1</v>
      </c>
      <c r="I126" s="446" t="s">
        <v>418</v>
      </c>
      <c r="J126" s="434" t="s">
        <v>20</v>
      </c>
      <c r="K126" s="440" t="s">
        <v>20</v>
      </c>
      <c r="L126" s="434">
        <v>2004</v>
      </c>
      <c r="M126" s="1169"/>
      <c r="N126" s="1170"/>
      <c r="O126" s="1170"/>
      <c r="P126" s="1170"/>
    </row>
    <row r="127" spans="1:16" s="443" customFormat="1" ht="15" customHeight="1">
      <c r="A127" s="789"/>
      <c r="B127" s="789"/>
      <c r="C127" s="835"/>
      <c r="D127" s="446">
        <v>1</v>
      </c>
      <c r="E127" s="446">
        <v>1</v>
      </c>
      <c r="F127" s="442"/>
      <c r="G127" s="445"/>
      <c r="H127" s="357">
        <v>1</v>
      </c>
      <c r="I127" s="446" t="s">
        <v>418</v>
      </c>
      <c r="J127" s="434" t="s">
        <v>212</v>
      </c>
      <c r="K127" s="440" t="s">
        <v>20</v>
      </c>
      <c r="L127" s="434">
        <v>2010</v>
      </c>
      <c r="M127" s="1169"/>
      <c r="N127" s="1170"/>
      <c r="O127" s="1170"/>
      <c r="P127" s="1170"/>
    </row>
    <row r="128" spans="1:16" s="443" customFormat="1" ht="15" customHeight="1">
      <c r="A128" s="789"/>
      <c r="B128" s="789"/>
      <c r="C128" s="835"/>
      <c r="D128" s="446">
        <v>1</v>
      </c>
      <c r="E128" s="446"/>
      <c r="F128" s="357">
        <v>1</v>
      </c>
      <c r="G128" s="445"/>
      <c r="H128" s="357">
        <v>1</v>
      </c>
      <c r="I128" s="440" t="s">
        <v>351</v>
      </c>
      <c r="J128" s="434" t="s">
        <v>18</v>
      </c>
      <c r="K128" s="440" t="s">
        <v>18</v>
      </c>
      <c r="L128" s="434">
        <v>1984</v>
      </c>
      <c r="M128" s="1169"/>
      <c r="N128" s="1170">
        <v>0</v>
      </c>
      <c r="O128" s="1170">
        <v>8242.92</v>
      </c>
      <c r="P128" s="1170">
        <f>N128+O128</f>
        <v>8242.92</v>
      </c>
    </row>
    <row r="129" spans="1:16" s="443" customFormat="1" ht="15" customHeight="1">
      <c r="A129" s="789"/>
      <c r="B129" s="789"/>
      <c r="C129" s="835"/>
      <c r="D129" s="446">
        <v>1</v>
      </c>
      <c r="E129" s="446"/>
      <c r="F129" s="357">
        <v>1</v>
      </c>
      <c r="G129" s="445"/>
      <c r="H129" s="357">
        <v>1</v>
      </c>
      <c r="I129" s="446" t="s">
        <v>338</v>
      </c>
      <c r="J129" s="434" t="s">
        <v>212</v>
      </c>
      <c r="K129" s="440" t="s">
        <v>18</v>
      </c>
      <c r="L129" s="434">
        <v>2006</v>
      </c>
      <c r="M129" s="1169"/>
      <c r="N129" s="1170"/>
      <c r="O129" s="1170"/>
      <c r="P129" s="1170"/>
    </row>
    <row r="130" spans="1:16" s="443" customFormat="1" ht="15" customHeight="1">
      <c r="A130" s="789"/>
      <c r="B130" s="789"/>
      <c r="C130" s="835"/>
      <c r="D130" s="446">
        <v>1</v>
      </c>
      <c r="E130" s="446"/>
      <c r="F130" s="357">
        <v>1</v>
      </c>
      <c r="G130" s="445"/>
      <c r="H130" s="446">
        <v>1</v>
      </c>
      <c r="I130" s="446" t="s">
        <v>338</v>
      </c>
      <c r="J130" s="434" t="s">
        <v>212</v>
      </c>
      <c r="K130" s="440" t="s">
        <v>18</v>
      </c>
      <c r="L130" s="434">
        <v>2003</v>
      </c>
      <c r="M130" s="1169"/>
      <c r="N130" s="1170"/>
      <c r="O130" s="1170"/>
      <c r="P130" s="1170"/>
    </row>
    <row r="131" spans="1:16" s="449" customFormat="1" ht="15" customHeight="1">
      <c r="A131" s="789"/>
      <c r="B131" s="789"/>
      <c r="C131" s="835"/>
      <c r="D131" s="446">
        <v>1</v>
      </c>
      <c r="E131" s="446"/>
      <c r="F131" s="446">
        <v>1</v>
      </c>
      <c r="G131" s="445"/>
      <c r="H131" s="446">
        <v>1</v>
      </c>
      <c r="I131" s="446" t="s">
        <v>351</v>
      </c>
      <c r="J131" s="434" t="s">
        <v>327</v>
      </c>
      <c r="K131" s="440" t="s">
        <v>327</v>
      </c>
      <c r="L131" s="434">
        <v>1978</v>
      </c>
      <c r="M131" s="1169"/>
      <c r="N131" s="1170">
        <v>1997.76</v>
      </c>
      <c r="O131" s="1170">
        <v>0</v>
      </c>
      <c r="P131" s="1170">
        <f>N131+O131</f>
        <v>1997.76</v>
      </c>
    </row>
    <row r="132" spans="1:16" s="449" customFormat="1" ht="15" customHeight="1">
      <c r="A132" s="789"/>
      <c r="B132" s="789"/>
      <c r="C132" s="835"/>
      <c r="D132" s="446">
        <v>1</v>
      </c>
      <c r="E132" s="446">
        <v>1</v>
      </c>
      <c r="F132" s="442"/>
      <c r="G132" s="445"/>
      <c r="H132" s="357">
        <v>1</v>
      </c>
      <c r="I132" s="446" t="s">
        <v>418</v>
      </c>
      <c r="J132" s="446" t="s">
        <v>212</v>
      </c>
      <c r="K132" s="481" t="s">
        <v>327</v>
      </c>
      <c r="L132" s="434">
        <v>2003</v>
      </c>
      <c r="M132" s="1169"/>
      <c r="N132" s="1170"/>
      <c r="O132" s="1170"/>
      <c r="P132" s="1170"/>
    </row>
    <row r="133" spans="1:16" s="449" customFormat="1" ht="15" customHeight="1">
      <c r="A133" s="789"/>
      <c r="B133" s="789"/>
      <c r="C133" s="835"/>
      <c r="D133" s="446">
        <v>1</v>
      </c>
      <c r="E133" s="446">
        <v>1</v>
      </c>
      <c r="F133" s="446"/>
      <c r="G133" s="445"/>
      <c r="H133" s="357">
        <v>1</v>
      </c>
      <c r="I133" s="446" t="s">
        <v>418</v>
      </c>
      <c r="J133" s="446" t="s">
        <v>212</v>
      </c>
      <c r="K133" s="481" t="s">
        <v>327</v>
      </c>
      <c r="L133" s="434">
        <v>2001</v>
      </c>
      <c r="M133" s="1169"/>
      <c r="N133" s="1170"/>
      <c r="O133" s="1170"/>
      <c r="P133" s="1170"/>
    </row>
    <row r="134" spans="1:16" s="449" customFormat="1" ht="15" customHeight="1">
      <c r="A134" s="789"/>
      <c r="B134" s="789"/>
      <c r="C134" s="898"/>
      <c r="D134" s="446">
        <v>1</v>
      </c>
      <c r="E134" s="446"/>
      <c r="F134" s="446">
        <v>1</v>
      </c>
      <c r="G134" s="445"/>
      <c r="H134" s="357">
        <v>1</v>
      </c>
      <c r="I134" s="446" t="s">
        <v>338</v>
      </c>
      <c r="J134" s="446" t="s">
        <v>212</v>
      </c>
      <c r="K134" s="481" t="s">
        <v>327</v>
      </c>
      <c r="L134" s="434">
        <v>2000</v>
      </c>
      <c r="M134" s="1169"/>
      <c r="N134" s="1170"/>
      <c r="O134" s="1170"/>
      <c r="P134" s="1170"/>
    </row>
    <row r="135" spans="1:16" s="449" customFormat="1" ht="15" customHeight="1">
      <c r="A135" s="1126" t="s">
        <v>458</v>
      </c>
      <c r="B135" s="1127"/>
      <c r="C135" s="481"/>
      <c r="D135" s="446"/>
      <c r="E135" s="446"/>
      <c r="F135" s="446"/>
      <c r="G135" s="445"/>
      <c r="H135" s="357"/>
      <c r="I135" s="446"/>
      <c r="J135" s="446"/>
      <c r="K135" s="481"/>
      <c r="L135" s="434"/>
      <c r="M135" s="612"/>
      <c r="N135" s="441">
        <v>1040.4</v>
      </c>
      <c r="O135" s="441">
        <v>0</v>
      </c>
      <c r="P135" s="441">
        <v>1040.4</v>
      </c>
    </row>
    <row r="136" spans="1:16" s="213" customFormat="1" ht="15" customHeight="1">
      <c r="A136" s="1030" t="s">
        <v>478</v>
      </c>
      <c r="B136" s="1030"/>
      <c r="C136" s="311"/>
      <c r="D136" s="202">
        <f>SUM(D109:D134)</f>
        <v>25</v>
      </c>
      <c r="E136" s="202">
        <f>SUM(E109:E134)</f>
        <v>10</v>
      </c>
      <c r="F136" s="202">
        <f>SUM(F109:F134)</f>
        <v>15</v>
      </c>
      <c r="G136" s="202">
        <f>SUM(G109:G134)</f>
        <v>2</v>
      </c>
      <c r="H136" s="202">
        <f>SUM(H109:H134)</f>
        <v>23</v>
      </c>
      <c r="I136" s="310"/>
      <c r="J136" s="312"/>
      <c r="K136" s="207"/>
      <c r="L136" s="202"/>
      <c r="M136" s="203"/>
      <c r="N136" s="339">
        <f>SUM(N109:N135)</f>
        <v>136012.1</v>
      </c>
      <c r="O136" s="339">
        <f>SUM(O109:O135)</f>
        <v>40823.42</v>
      </c>
      <c r="P136" s="339">
        <f>SUM(P109:P135)</f>
        <v>176835.52000000002</v>
      </c>
    </row>
    <row r="137" spans="1:16" s="4" customFormat="1" ht="15" customHeight="1">
      <c r="A137" s="1027" t="s">
        <v>65</v>
      </c>
      <c r="B137" s="1027"/>
      <c r="C137" s="87"/>
      <c r="D137" s="87"/>
      <c r="E137" s="300"/>
      <c r="F137" s="87"/>
      <c r="G137" s="87"/>
      <c r="H137" s="87"/>
      <c r="I137" s="87"/>
      <c r="J137" s="87"/>
      <c r="K137" s="87"/>
      <c r="L137" s="87"/>
      <c r="M137" s="103"/>
      <c r="N137" s="196"/>
      <c r="O137" s="196"/>
      <c r="P137" s="211"/>
    </row>
    <row r="138" spans="1:16" s="50" customFormat="1" ht="57" customHeight="1">
      <c r="A138" s="39" t="s">
        <v>332</v>
      </c>
      <c r="B138" s="39" t="s">
        <v>333</v>
      </c>
      <c r="C138" s="39" t="s">
        <v>213</v>
      </c>
      <c r="D138" s="115" t="s">
        <v>36</v>
      </c>
      <c r="E138" s="115" t="s">
        <v>73</v>
      </c>
      <c r="F138" s="115" t="s">
        <v>74</v>
      </c>
      <c r="G138" s="115" t="s">
        <v>37</v>
      </c>
      <c r="H138" s="115" t="s">
        <v>38</v>
      </c>
      <c r="I138" s="39"/>
      <c r="J138" s="115" t="s">
        <v>15</v>
      </c>
      <c r="K138" s="115" t="s">
        <v>214</v>
      </c>
      <c r="L138" s="115" t="s">
        <v>39</v>
      </c>
      <c r="M138" s="115" t="s">
        <v>76</v>
      </c>
      <c r="N138" s="360" t="s">
        <v>508</v>
      </c>
      <c r="O138" s="607" t="s">
        <v>509</v>
      </c>
      <c r="P138" s="595" t="s">
        <v>58</v>
      </c>
    </row>
    <row r="139" spans="1:16" s="280" customFormat="1" ht="15" customHeight="1">
      <c r="A139" s="791"/>
      <c r="B139" s="791"/>
      <c r="C139" s="790"/>
      <c r="D139" s="1">
        <v>1</v>
      </c>
      <c r="E139" s="409"/>
      <c r="F139" s="409">
        <v>1</v>
      </c>
      <c r="G139" s="409"/>
      <c r="H139" s="409">
        <v>1</v>
      </c>
      <c r="I139" s="435" t="s">
        <v>351</v>
      </c>
      <c r="J139" s="409" t="s">
        <v>406</v>
      </c>
      <c r="K139" s="415"/>
      <c r="L139" s="409">
        <v>1970</v>
      </c>
      <c r="M139" s="1168"/>
      <c r="N139" s="1099">
        <v>0</v>
      </c>
      <c r="O139" s="1099">
        <v>1935</v>
      </c>
      <c r="P139" s="1104">
        <f>N139+O139</f>
        <v>1935</v>
      </c>
    </row>
    <row r="140" spans="1:16" s="280" customFormat="1" ht="15" customHeight="1">
      <c r="A140" s="899"/>
      <c r="B140" s="839"/>
      <c r="C140" s="835"/>
      <c r="D140" s="1">
        <v>1</v>
      </c>
      <c r="E140" s="409"/>
      <c r="F140" s="409">
        <v>1</v>
      </c>
      <c r="G140" s="409">
        <v>1</v>
      </c>
      <c r="H140" s="326"/>
      <c r="I140" s="382" t="s">
        <v>338</v>
      </c>
      <c r="J140" s="409" t="s">
        <v>212</v>
      </c>
      <c r="K140" s="415" t="s">
        <v>83</v>
      </c>
      <c r="L140" s="409">
        <v>2006</v>
      </c>
      <c r="M140" s="1168"/>
      <c r="N140" s="1099"/>
      <c r="O140" s="1099"/>
      <c r="P140" s="1104"/>
    </row>
    <row r="141" spans="1:16" s="280" customFormat="1" ht="15" customHeight="1">
      <c r="A141" s="789"/>
      <c r="B141" s="789"/>
      <c r="C141" s="834"/>
      <c r="D141" s="1">
        <v>1</v>
      </c>
      <c r="E141" s="409">
        <v>1</v>
      </c>
      <c r="F141" s="409"/>
      <c r="G141" s="409"/>
      <c r="H141" s="409">
        <v>1</v>
      </c>
      <c r="I141" s="200" t="s">
        <v>459</v>
      </c>
      <c r="J141" s="409" t="s">
        <v>212</v>
      </c>
      <c r="K141" s="434" t="s">
        <v>500</v>
      </c>
      <c r="L141" s="434">
        <v>1997</v>
      </c>
      <c r="M141" s="859"/>
      <c r="N141" s="195">
        <v>13809.5</v>
      </c>
      <c r="O141" s="338">
        <v>0</v>
      </c>
      <c r="P141" s="368">
        <f>N141+O141</f>
        <v>13809.5</v>
      </c>
    </row>
    <row r="142" spans="1:16" s="280" customFormat="1" ht="15" customHeight="1">
      <c r="A142" s="789"/>
      <c r="B142" s="789"/>
      <c r="C142" s="835"/>
      <c r="D142" s="1">
        <v>1</v>
      </c>
      <c r="E142" s="409"/>
      <c r="F142" s="409">
        <v>1</v>
      </c>
      <c r="G142" s="409"/>
      <c r="H142" s="409">
        <v>1</v>
      </c>
      <c r="I142" s="435" t="s">
        <v>351</v>
      </c>
      <c r="J142" s="439" t="s">
        <v>505</v>
      </c>
      <c r="K142" s="440" t="s">
        <v>505</v>
      </c>
      <c r="L142" s="439">
        <v>1991</v>
      </c>
      <c r="M142" s="1168"/>
      <c r="N142" s="1099">
        <v>6822.72</v>
      </c>
      <c r="O142" s="1099">
        <v>0</v>
      </c>
      <c r="P142" s="1104">
        <f>N142+O142</f>
        <v>6822.72</v>
      </c>
    </row>
    <row r="143" spans="1:16" s="280" customFormat="1" ht="15" customHeight="1">
      <c r="A143" s="789"/>
      <c r="B143" s="789"/>
      <c r="C143" s="835"/>
      <c r="D143" s="1">
        <v>1</v>
      </c>
      <c r="E143" s="409"/>
      <c r="F143" s="409">
        <v>1</v>
      </c>
      <c r="G143" s="409">
        <v>1</v>
      </c>
      <c r="H143" s="409"/>
      <c r="I143" s="382" t="s">
        <v>338</v>
      </c>
      <c r="J143" s="418" t="s">
        <v>212</v>
      </c>
      <c r="K143" s="415" t="s">
        <v>506</v>
      </c>
      <c r="L143" s="439">
        <v>2012</v>
      </c>
      <c r="M143" s="1168"/>
      <c r="N143" s="1099"/>
      <c r="O143" s="1099"/>
      <c r="P143" s="1104"/>
    </row>
    <row r="144" spans="1:16" s="280" customFormat="1" ht="15" customHeight="1">
      <c r="A144" s="791"/>
      <c r="B144" s="791"/>
      <c r="C144" s="790"/>
      <c r="D144" s="1">
        <v>1</v>
      </c>
      <c r="E144" s="409"/>
      <c r="F144" s="409">
        <v>1</v>
      </c>
      <c r="G144" s="409">
        <v>1</v>
      </c>
      <c r="H144" s="305"/>
      <c r="I144" s="22" t="s">
        <v>421</v>
      </c>
      <c r="J144" s="22" t="s">
        <v>212</v>
      </c>
      <c r="K144" s="22" t="s">
        <v>212</v>
      </c>
      <c r="L144" s="439">
        <v>1994</v>
      </c>
      <c r="M144" s="859"/>
      <c r="N144" s="195">
        <v>1155</v>
      </c>
      <c r="O144" s="338">
        <v>0</v>
      </c>
      <c r="P144" s="368">
        <f>N144+O144</f>
        <v>1155</v>
      </c>
    </row>
    <row r="145" spans="1:16" s="280" customFormat="1" ht="15" customHeight="1">
      <c r="A145" s="1126" t="s">
        <v>458</v>
      </c>
      <c r="B145" s="1127"/>
      <c r="C145" s="22"/>
      <c r="D145" s="1"/>
      <c r="E145" s="409"/>
      <c r="F145" s="409"/>
      <c r="G145" s="409"/>
      <c r="H145" s="305"/>
      <c r="I145" s="22"/>
      <c r="J145" s="22"/>
      <c r="K145" s="22"/>
      <c r="L145" s="439"/>
      <c r="M145" s="200"/>
      <c r="N145" s="195">
        <v>1040.4</v>
      </c>
      <c r="O145" s="338">
        <v>0</v>
      </c>
      <c r="P145" s="368">
        <v>1040.4</v>
      </c>
    </row>
    <row r="146" spans="1:16" s="213" customFormat="1" ht="15" customHeight="1">
      <c r="A146" s="1030" t="s">
        <v>340</v>
      </c>
      <c r="B146" s="1030"/>
      <c r="C146" s="311"/>
      <c r="D146" s="202">
        <f>SUM(D139:D144)</f>
        <v>6</v>
      </c>
      <c r="E146" s="202">
        <f>SUM(E141:E144)</f>
        <v>1</v>
      </c>
      <c r="F146" s="202">
        <f>SUM(F139:F144)</f>
        <v>5</v>
      </c>
      <c r="G146" s="202">
        <f>SUM(G139:G144)</f>
        <v>3</v>
      </c>
      <c r="H146" s="202">
        <f>SUM(H139:H144)</f>
        <v>3</v>
      </c>
      <c r="I146" s="310"/>
      <c r="J146" s="312"/>
      <c r="K146" s="207"/>
      <c r="L146" s="202"/>
      <c r="M146" s="203"/>
      <c r="N146" s="204">
        <f>SUM(N139:N145)</f>
        <v>22827.620000000003</v>
      </c>
      <c r="O146" s="339">
        <f>SUM(O139:O144)</f>
        <v>1935</v>
      </c>
      <c r="P146" s="339">
        <f>SUM(P139:P145)</f>
        <v>24762.620000000003</v>
      </c>
    </row>
    <row r="147" spans="1:16" s="4" customFormat="1" ht="15" customHeight="1">
      <c r="A147" s="1027" t="s">
        <v>69</v>
      </c>
      <c r="B147" s="1027"/>
      <c r="C147" s="313"/>
      <c r="D147" s="365"/>
      <c r="E147" s="314"/>
      <c r="F147" s="314"/>
      <c r="G147" s="314"/>
      <c r="H147" s="314"/>
      <c r="I147" s="457"/>
      <c r="J147" s="315"/>
      <c r="K147" s="314"/>
      <c r="L147" s="314"/>
      <c r="M147" s="199"/>
      <c r="N147" s="199"/>
      <c r="O147" s="103"/>
      <c r="P147" s="103"/>
    </row>
    <row r="148" spans="1:16" s="50" customFormat="1" ht="57" customHeight="1">
      <c r="A148" s="39" t="s">
        <v>332</v>
      </c>
      <c r="B148" s="39" t="s">
        <v>333</v>
      </c>
      <c r="C148" s="39" t="s">
        <v>213</v>
      </c>
      <c r="D148" s="115" t="s">
        <v>36</v>
      </c>
      <c r="E148" s="115" t="s">
        <v>73</v>
      </c>
      <c r="F148" s="115" t="s">
        <v>74</v>
      </c>
      <c r="G148" s="115" t="s">
        <v>37</v>
      </c>
      <c r="H148" s="115" t="s">
        <v>38</v>
      </c>
      <c r="I148" s="39"/>
      <c r="J148" s="115" t="s">
        <v>15</v>
      </c>
      <c r="K148" s="115" t="s">
        <v>214</v>
      </c>
      <c r="L148" s="115" t="s">
        <v>39</v>
      </c>
      <c r="M148" s="115" t="s">
        <v>76</v>
      </c>
      <c r="N148" s="360" t="s">
        <v>508</v>
      </c>
      <c r="O148" s="607" t="s">
        <v>509</v>
      </c>
      <c r="P148" s="595" t="s">
        <v>58</v>
      </c>
    </row>
    <row r="149" spans="1:16" s="278" customFormat="1" ht="15" customHeight="1">
      <c r="A149" s="789"/>
      <c r="B149" s="789"/>
      <c r="C149" s="835"/>
      <c r="D149" s="357">
        <v>1</v>
      </c>
      <c r="E149" s="357"/>
      <c r="F149" s="357">
        <v>1</v>
      </c>
      <c r="G149" s="22"/>
      <c r="H149" s="22">
        <v>1</v>
      </c>
      <c r="I149" s="435" t="s">
        <v>351</v>
      </c>
      <c r="J149" s="434" t="s">
        <v>19</v>
      </c>
      <c r="K149" s="415"/>
      <c r="L149" s="22">
        <v>1983</v>
      </c>
      <c r="M149" s="1168"/>
      <c r="N149" s="1099">
        <v>0</v>
      </c>
      <c r="O149" s="1099">
        <v>1276</v>
      </c>
      <c r="P149" s="1099">
        <f>N149+O149</f>
        <v>1276</v>
      </c>
    </row>
    <row r="150" spans="1:16" s="278" customFormat="1" ht="15" customHeight="1">
      <c r="A150" s="789"/>
      <c r="B150" s="789"/>
      <c r="C150" s="835"/>
      <c r="D150" s="429">
        <v>1</v>
      </c>
      <c r="E150" s="429">
        <v>1</v>
      </c>
      <c r="F150" s="429"/>
      <c r="G150" s="22"/>
      <c r="H150" s="22">
        <v>1</v>
      </c>
      <c r="I150" s="409" t="s">
        <v>418</v>
      </c>
      <c r="J150" s="409" t="s">
        <v>212</v>
      </c>
      <c r="K150" s="434" t="s">
        <v>19</v>
      </c>
      <c r="L150" s="22">
        <v>2006</v>
      </c>
      <c r="M150" s="1168"/>
      <c r="N150" s="1099"/>
      <c r="O150" s="1099"/>
      <c r="P150" s="1099"/>
    </row>
    <row r="151" spans="1:16" s="278" customFormat="1" ht="15" customHeight="1">
      <c r="A151" s="1126" t="s">
        <v>458</v>
      </c>
      <c r="B151" s="1127"/>
      <c r="C151" s="440"/>
      <c r="D151" s="429"/>
      <c r="E151" s="429"/>
      <c r="F151" s="429"/>
      <c r="G151" s="22"/>
      <c r="H151" s="22"/>
      <c r="I151" s="409"/>
      <c r="J151" s="409"/>
      <c r="K151" s="434"/>
      <c r="L151" s="22"/>
      <c r="M151" s="200"/>
      <c r="N151" s="195">
        <v>1040.4</v>
      </c>
      <c r="O151" s="195">
        <v>0</v>
      </c>
      <c r="P151" s="195">
        <f>N151+O151</f>
        <v>1040.4</v>
      </c>
    </row>
    <row r="152" spans="1:16" s="213" customFormat="1" ht="15" customHeight="1">
      <c r="A152" s="1030" t="s">
        <v>13</v>
      </c>
      <c r="B152" s="1030"/>
      <c r="C152" s="311"/>
      <c r="D152" s="205">
        <f>SUM(D149:D150)</f>
        <v>2</v>
      </c>
      <c r="E152" s="205">
        <f>SUM(E149:E150)</f>
        <v>1</v>
      </c>
      <c r="F152" s="205">
        <f>SUM(F149:F150)</f>
        <v>1</v>
      </c>
      <c r="G152" s="205">
        <f>SUM(G149:G150)</f>
        <v>0</v>
      </c>
      <c r="H152" s="205">
        <f>SUM(H149:H150)</f>
        <v>2</v>
      </c>
      <c r="I152" s="310"/>
      <c r="J152" s="312"/>
      <c r="K152" s="207"/>
      <c r="L152" s="205"/>
      <c r="M152" s="203"/>
      <c r="N152" s="204">
        <f>SUM(N149:N151)</f>
        <v>1040.4</v>
      </c>
      <c r="O152" s="339">
        <f>SUM(O149:O150)</f>
        <v>1276</v>
      </c>
      <c r="P152" s="339">
        <f>SUM(P149:P151)</f>
        <v>2316.4</v>
      </c>
    </row>
    <row r="153" spans="1:16" s="4" customFormat="1" ht="15" customHeight="1">
      <c r="A153" s="1027" t="s">
        <v>70</v>
      </c>
      <c r="B153" s="1027"/>
      <c r="C153" s="313"/>
      <c r="D153" s="365"/>
      <c r="E153" s="314"/>
      <c r="F153" s="314"/>
      <c r="G153" s="314"/>
      <c r="H153" s="314"/>
      <c r="I153" s="457"/>
      <c r="J153" s="315"/>
      <c r="K153" s="314"/>
      <c r="L153" s="314"/>
      <c r="M153" s="199"/>
      <c r="N153" s="199"/>
      <c r="O153" s="103"/>
      <c r="P153" s="103"/>
    </row>
    <row r="154" spans="1:16" s="50" customFormat="1" ht="57" customHeight="1">
      <c r="A154" s="39" t="s">
        <v>332</v>
      </c>
      <c r="B154" s="39" t="s">
        <v>333</v>
      </c>
      <c r="C154" s="39" t="s">
        <v>213</v>
      </c>
      <c r="D154" s="115" t="s">
        <v>36</v>
      </c>
      <c r="E154" s="115" t="s">
        <v>73</v>
      </c>
      <c r="F154" s="115" t="s">
        <v>74</v>
      </c>
      <c r="G154" s="115" t="s">
        <v>37</v>
      </c>
      <c r="H154" s="115" t="s">
        <v>38</v>
      </c>
      <c r="I154" s="39"/>
      <c r="J154" s="115" t="s">
        <v>15</v>
      </c>
      <c r="K154" s="115" t="s">
        <v>214</v>
      </c>
      <c r="L154" s="115" t="s">
        <v>39</v>
      </c>
      <c r="M154" s="115" t="s">
        <v>76</v>
      </c>
      <c r="N154" s="360" t="s">
        <v>508</v>
      </c>
      <c r="O154" s="607" t="s">
        <v>509</v>
      </c>
      <c r="P154" s="595" t="s">
        <v>58</v>
      </c>
    </row>
    <row r="155" spans="1:16" s="111" customFormat="1" ht="15" customHeight="1">
      <c r="A155" s="791"/>
      <c r="B155" s="791"/>
      <c r="C155" s="792"/>
      <c r="D155" s="1">
        <v>1</v>
      </c>
      <c r="E155" s="22"/>
      <c r="F155" s="77">
        <v>1</v>
      </c>
      <c r="G155" s="77"/>
      <c r="H155" s="22">
        <v>1</v>
      </c>
      <c r="I155" s="435" t="s">
        <v>351</v>
      </c>
      <c r="J155" s="22" t="s">
        <v>18</v>
      </c>
      <c r="K155" s="222"/>
      <c r="L155" s="21">
        <v>1983</v>
      </c>
      <c r="M155" s="1167"/>
      <c r="N155" s="1099">
        <v>2236.52</v>
      </c>
      <c r="O155" s="1099">
        <v>0</v>
      </c>
      <c r="P155" s="1099">
        <f>N155+O155</f>
        <v>2236.52</v>
      </c>
    </row>
    <row r="156" spans="1:16" s="111" customFormat="1" ht="15" customHeight="1">
      <c r="A156" s="791"/>
      <c r="B156" s="791"/>
      <c r="C156" s="792"/>
      <c r="D156" s="1">
        <v>1</v>
      </c>
      <c r="E156" s="22"/>
      <c r="F156" s="77">
        <v>1</v>
      </c>
      <c r="G156" s="77"/>
      <c r="H156" s="22">
        <v>1</v>
      </c>
      <c r="I156" s="382" t="s">
        <v>338</v>
      </c>
      <c r="J156" s="22" t="s">
        <v>212</v>
      </c>
      <c r="K156" s="222" t="s">
        <v>18</v>
      </c>
      <c r="L156" s="77">
        <v>2007</v>
      </c>
      <c r="M156" s="1167"/>
      <c r="N156" s="1099"/>
      <c r="O156" s="1099"/>
      <c r="P156" s="1099"/>
    </row>
    <row r="157" spans="1:16" s="111" customFormat="1" ht="15" customHeight="1">
      <c r="A157" s="791"/>
      <c r="B157" s="791"/>
      <c r="C157" s="792"/>
      <c r="D157" s="1">
        <v>1</v>
      </c>
      <c r="E157" s="305"/>
      <c r="F157" s="75">
        <v>1</v>
      </c>
      <c r="G157" s="75"/>
      <c r="H157" s="22">
        <v>1</v>
      </c>
      <c r="I157" s="382" t="s">
        <v>338</v>
      </c>
      <c r="J157" s="22" t="s">
        <v>212</v>
      </c>
      <c r="K157" s="222" t="s">
        <v>18</v>
      </c>
      <c r="L157" s="77">
        <v>2009</v>
      </c>
      <c r="M157" s="1167"/>
      <c r="N157" s="1099"/>
      <c r="O157" s="1099"/>
      <c r="P157" s="1099"/>
    </row>
    <row r="158" spans="1:16" s="111" customFormat="1" ht="15" customHeight="1">
      <c r="A158" s="791"/>
      <c r="B158" s="791"/>
      <c r="C158" s="792"/>
      <c r="D158" s="1">
        <v>1</v>
      </c>
      <c r="E158" s="22">
        <v>1</v>
      </c>
      <c r="F158" s="77"/>
      <c r="G158" s="77"/>
      <c r="H158" s="22">
        <v>1</v>
      </c>
      <c r="I158" s="22" t="s">
        <v>418</v>
      </c>
      <c r="J158" s="22" t="s">
        <v>212</v>
      </c>
      <c r="K158" s="222" t="s">
        <v>18</v>
      </c>
      <c r="L158" s="22">
        <v>2011</v>
      </c>
      <c r="M158" s="1167"/>
      <c r="N158" s="1099"/>
      <c r="O158" s="1099"/>
      <c r="P158" s="1099"/>
    </row>
    <row r="159" spans="1:16" s="111" customFormat="1" ht="24" customHeight="1">
      <c r="A159" s="791"/>
      <c r="B159" s="791"/>
      <c r="C159" s="792"/>
      <c r="D159" s="1">
        <v>1</v>
      </c>
      <c r="E159" s="22">
        <v>1</v>
      </c>
      <c r="F159" s="77"/>
      <c r="G159" s="77"/>
      <c r="H159" s="22">
        <v>1</v>
      </c>
      <c r="I159" s="200" t="s">
        <v>459</v>
      </c>
      <c r="J159" s="22" t="s">
        <v>427</v>
      </c>
      <c r="K159" s="222" t="s">
        <v>427</v>
      </c>
      <c r="L159" s="78">
        <v>1998</v>
      </c>
      <c r="M159" s="904"/>
      <c r="N159" s="195">
        <f>3796+374.4+7095.02+19978.4</f>
        <v>31243.82</v>
      </c>
      <c r="O159" s="195">
        <v>0</v>
      </c>
      <c r="P159" s="338">
        <f>N159+O159</f>
        <v>31243.82</v>
      </c>
    </row>
    <row r="160" spans="1:16" s="111" customFormat="1" ht="15" customHeight="1">
      <c r="A160" s="791"/>
      <c r="B160" s="791"/>
      <c r="C160" s="792"/>
      <c r="D160" s="1">
        <v>1</v>
      </c>
      <c r="E160" s="1"/>
      <c r="F160" s="77">
        <v>1</v>
      </c>
      <c r="G160" s="279"/>
      <c r="H160" s="22">
        <v>1</v>
      </c>
      <c r="I160" s="435" t="s">
        <v>351</v>
      </c>
      <c r="J160" s="22" t="s">
        <v>427</v>
      </c>
      <c r="K160" s="22"/>
      <c r="L160" s="78">
        <v>1981</v>
      </c>
      <c r="M160" s="1167"/>
      <c r="N160" s="1099">
        <v>0</v>
      </c>
      <c r="O160" s="1099">
        <v>540</v>
      </c>
      <c r="P160" s="1099">
        <f>N160+O160</f>
        <v>540</v>
      </c>
    </row>
    <row r="161" spans="1:16" s="111" customFormat="1" ht="15" customHeight="1">
      <c r="A161" s="791"/>
      <c r="B161" s="791"/>
      <c r="C161" s="792"/>
      <c r="D161" s="1">
        <v>1</v>
      </c>
      <c r="E161" s="1"/>
      <c r="F161" s="77">
        <v>1</v>
      </c>
      <c r="G161" s="77"/>
      <c r="H161" s="22">
        <v>1</v>
      </c>
      <c r="I161" s="200" t="s">
        <v>338</v>
      </c>
      <c r="J161" s="22" t="s">
        <v>212</v>
      </c>
      <c r="K161" s="222" t="s">
        <v>427</v>
      </c>
      <c r="L161" s="78">
        <v>2010</v>
      </c>
      <c r="M161" s="1167"/>
      <c r="N161" s="1099"/>
      <c r="O161" s="1099"/>
      <c r="P161" s="1099"/>
    </row>
    <row r="162" spans="1:16" s="111" customFormat="1" ht="15" customHeight="1">
      <c r="A162" s="791"/>
      <c r="B162" s="795"/>
      <c r="C162" s="792"/>
      <c r="D162" s="1">
        <v>1</v>
      </c>
      <c r="E162" s="1"/>
      <c r="F162" s="77">
        <v>1</v>
      </c>
      <c r="G162" s="279"/>
      <c r="H162" s="22">
        <v>1</v>
      </c>
      <c r="I162" s="435" t="s">
        <v>351</v>
      </c>
      <c r="J162" s="222" t="s">
        <v>427</v>
      </c>
      <c r="K162" s="305"/>
      <c r="L162" s="78">
        <v>1977</v>
      </c>
      <c r="M162" s="1165"/>
      <c r="N162" s="1099">
        <v>3301.82</v>
      </c>
      <c r="O162" s="1099">
        <v>0</v>
      </c>
      <c r="P162" s="1099">
        <f>N162+O162</f>
        <v>3301.82</v>
      </c>
    </row>
    <row r="163" spans="1:17" s="111" customFormat="1" ht="15" customHeight="1">
      <c r="A163" s="791"/>
      <c r="B163" s="791"/>
      <c r="C163" s="792"/>
      <c r="D163" s="1">
        <v>1</v>
      </c>
      <c r="E163" s="22"/>
      <c r="F163" s="77">
        <v>1</v>
      </c>
      <c r="G163" s="77"/>
      <c r="H163" s="22">
        <v>1</v>
      </c>
      <c r="I163" s="200" t="s">
        <v>338</v>
      </c>
      <c r="J163" s="22" t="s">
        <v>212</v>
      </c>
      <c r="K163" s="222" t="s">
        <v>427</v>
      </c>
      <c r="L163" s="78">
        <v>2002</v>
      </c>
      <c r="M163" s="1165"/>
      <c r="N163" s="1099"/>
      <c r="O163" s="1099"/>
      <c r="P163" s="1099"/>
      <c r="Q163" s="133"/>
    </row>
    <row r="164" spans="1:16" s="111" customFormat="1" ht="15" customHeight="1">
      <c r="A164" s="791"/>
      <c r="B164" s="791"/>
      <c r="C164" s="792"/>
      <c r="D164" s="1">
        <v>1</v>
      </c>
      <c r="E164" s="305"/>
      <c r="F164" s="77">
        <v>1</v>
      </c>
      <c r="G164" s="77"/>
      <c r="H164" s="22">
        <v>1</v>
      </c>
      <c r="I164" s="200" t="s">
        <v>338</v>
      </c>
      <c r="J164" s="22" t="s">
        <v>212</v>
      </c>
      <c r="K164" s="222" t="s">
        <v>427</v>
      </c>
      <c r="L164" s="78">
        <v>2007</v>
      </c>
      <c r="M164" s="1165"/>
      <c r="N164" s="1099"/>
      <c r="O164" s="1099"/>
      <c r="P164" s="1099"/>
    </row>
    <row r="165" spans="1:16" s="111" customFormat="1" ht="15" customHeight="1">
      <c r="A165" s="794"/>
      <c r="B165" s="791"/>
      <c r="C165" s="792"/>
      <c r="D165" s="1">
        <v>1</v>
      </c>
      <c r="E165" s="22">
        <v>1</v>
      </c>
      <c r="F165" s="77"/>
      <c r="G165" s="77">
        <v>1</v>
      </c>
      <c r="H165" s="22"/>
      <c r="I165" s="22" t="s">
        <v>459</v>
      </c>
      <c r="J165" s="22" t="s">
        <v>212</v>
      </c>
      <c r="K165" s="222" t="s">
        <v>212</v>
      </c>
      <c r="L165" s="22">
        <v>1997</v>
      </c>
      <c r="M165" s="841"/>
      <c r="N165" s="195">
        <v>32785.76</v>
      </c>
      <c r="O165" s="195">
        <v>0</v>
      </c>
      <c r="P165" s="338">
        <f>N165+O165</f>
        <v>32785.76</v>
      </c>
    </row>
    <row r="166" spans="1:16" s="111" customFormat="1" ht="15" customHeight="1">
      <c r="A166" s="794"/>
      <c r="B166" s="795"/>
      <c r="C166" s="792"/>
      <c r="D166" s="1">
        <v>1</v>
      </c>
      <c r="E166" s="22">
        <v>1</v>
      </c>
      <c r="F166" s="77"/>
      <c r="G166" s="77">
        <v>1</v>
      </c>
      <c r="H166" s="22"/>
      <c r="I166" s="22" t="s">
        <v>459</v>
      </c>
      <c r="J166" s="22" t="s">
        <v>212</v>
      </c>
      <c r="K166" s="222" t="s">
        <v>212</v>
      </c>
      <c r="L166" s="22">
        <v>1998</v>
      </c>
      <c r="M166" s="841"/>
      <c r="N166" s="195">
        <v>37203.41</v>
      </c>
      <c r="O166" s="195">
        <v>0</v>
      </c>
      <c r="P166" s="338">
        <f>N166+O166</f>
        <v>37203.41</v>
      </c>
    </row>
    <row r="167" spans="1:16" s="111" customFormat="1" ht="15" customHeight="1">
      <c r="A167" s="1126" t="s">
        <v>458</v>
      </c>
      <c r="B167" s="1127"/>
      <c r="C167" s="222"/>
      <c r="D167" s="1"/>
      <c r="E167" s="22"/>
      <c r="F167" s="77"/>
      <c r="G167" s="77"/>
      <c r="H167" s="22"/>
      <c r="I167" s="22"/>
      <c r="J167" s="22"/>
      <c r="K167" s="222"/>
      <c r="L167" s="22"/>
      <c r="M167" s="841"/>
      <c r="N167" s="195">
        <v>1040.52</v>
      </c>
      <c r="O167" s="195">
        <v>0</v>
      </c>
      <c r="P167" s="338">
        <v>1040.52</v>
      </c>
    </row>
    <row r="168" spans="1:16" s="213" customFormat="1" ht="15" customHeight="1">
      <c r="A168" s="1030" t="s">
        <v>341</v>
      </c>
      <c r="B168" s="1030"/>
      <c r="C168" s="311"/>
      <c r="D168" s="205">
        <f>SUM(D155:D166)</f>
        <v>12</v>
      </c>
      <c r="E168" s="205">
        <f>SUM(E155:E166)</f>
        <v>4</v>
      </c>
      <c r="F168" s="205">
        <f>SUM(F155:F166)</f>
        <v>8</v>
      </c>
      <c r="G168" s="205">
        <f>SUM(G155:G166)</f>
        <v>2</v>
      </c>
      <c r="H168" s="205">
        <f>SUM(H155:H166)</f>
        <v>10</v>
      </c>
      <c r="I168" s="310"/>
      <c r="J168" s="312"/>
      <c r="K168" s="207"/>
      <c r="L168" s="205"/>
      <c r="M168" s="203"/>
      <c r="N168" s="204">
        <f>SUM(N155:N167)</f>
        <v>107811.85</v>
      </c>
      <c r="O168" s="204">
        <f>SUM(O155:O166)</f>
        <v>540</v>
      </c>
      <c r="P168" s="204">
        <f>SUM(P155:P167)</f>
        <v>108351.85</v>
      </c>
    </row>
    <row r="169" spans="1:16" s="4" customFormat="1" ht="15" customHeight="1">
      <c r="A169" s="1027" t="s">
        <v>71</v>
      </c>
      <c r="B169" s="1027"/>
      <c r="C169" s="313"/>
      <c r="D169" s="365"/>
      <c r="E169" s="314"/>
      <c r="F169" s="314"/>
      <c r="G169" s="314"/>
      <c r="H169" s="314"/>
      <c r="I169" s="457"/>
      <c r="J169" s="315"/>
      <c r="K169" s="314"/>
      <c r="L169" s="314"/>
      <c r="M169" s="199"/>
      <c r="N169" s="199"/>
      <c r="O169" s="103"/>
      <c r="P169" s="103"/>
    </row>
    <row r="170" spans="1:16" s="50" customFormat="1" ht="57" customHeight="1">
      <c r="A170" s="39" t="s">
        <v>332</v>
      </c>
      <c r="B170" s="39" t="s">
        <v>333</v>
      </c>
      <c r="C170" s="39" t="s">
        <v>213</v>
      </c>
      <c r="D170" s="115" t="s">
        <v>36</v>
      </c>
      <c r="E170" s="115" t="s">
        <v>73</v>
      </c>
      <c r="F170" s="115" t="s">
        <v>74</v>
      </c>
      <c r="G170" s="115" t="s">
        <v>37</v>
      </c>
      <c r="H170" s="115" t="s">
        <v>38</v>
      </c>
      <c r="I170" s="39"/>
      <c r="J170" s="115" t="s">
        <v>15</v>
      </c>
      <c r="K170" s="115" t="s">
        <v>214</v>
      </c>
      <c r="L170" s="115" t="s">
        <v>39</v>
      </c>
      <c r="M170" s="115" t="s">
        <v>76</v>
      </c>
      <c r="N170" s="360" t="s">
        <v>508</v>
      </c>
      <c r="O170" s="607" t="s">
        <v>509</v>
      </c>
      <c r="P170" s="595" t="s">
        <v>58</v>
      </c>
    </row>
    <row r="171" spans="1:18" s="111" customFormat="1" ht="15" customHeight="1">
      <c r="A171" s="791"/>
      <c r="B171" s="791"/>
      <c r="C171" s="792"/>
      <c r="D171" s="1">
        <v>1</v>
      </c>
      <c r="E171" s="305"/>
      <c r="F171" s="77">
        <v>1</v>
      </c>
      <c r="G171" s="22">
        <v>1</v>
      </c>
      <c r="H171" s="77"/>
      <c r="I171" s="435" t="s">
        <v>351</v>
      </c>
      <c r="J171" s="22" t="s">
        <v>212</v>
      </c>
      <c r="K171" s="222" t="s">
        <v>212</v>
      </c>
      <c r="L171" s="15">
        <v>1989</v>
      </c>
      <c r="M171" s="1167"/>
      <c r="N171" s="1098">
        <v>34560.32</v>
      </c>
      <c r="O171" s="1098">
        <v>0</v>
      </c>
      <c r="P171" s="1099">
        <f>N171+O171</f>
        <v>34560.32</v>
      </c>
      <c r="R171" s="341"/>
    </row>
    <row r="172" spans="1:16" s="111" customFormat="1" ht="15" customHeight="1">
      <c r="A172" s="791"/>
      <c r="B172" s="791"/>
      <c r="C172" s="792"/>
      <c r="D172" s="1">
        <v>1</v>
      </c>
      <c r="E172" s="22"/>
      <c r="F172" s="77">
        <v>1</v>
      </c>
      <c r="G172" s="22">
        <v>1</v>
      </c>
      <c r="H172" s="22"/>
      <c r="I172" s="200" t="s">
        <v>338</v>
      </c>
      <c r="J172" s="22" t="s">
        <v>212</v>
      </c>
      <c r="K172" s="222" t="s">
        <v>212</v>
      </c>
      <c r="L172" s="22">
        <v>2010</v>
      </c>
      <c r="M172" s="1167"/>
      <c r="N172" s="1098"/>
      <c r="O172" s="1098"/>
      <c r="P172" s="1099"/>
    </row>
    <row r="173" spans="1:16" s="111" customFormat="1" ht="15" customHeight="1">
      <c r="A173" s="791"/>
      <c r="B173" s="791"/>
      <c r="C173" s="792"/>
      <c r="D173" s="1">
        <v>1</v>
      </c>
      <c r="E173" s="22"/>
      <c r="F173" s="77">
        <v>1</v>
      </c>
      <c r="G173" s="22">
        <v>1</v>
      </c>
      <c r="H173" s="77"/>
      <c r="I173" s="1" t="s">
        <v>351</v>
      </c>
      <c r="J173" s="22" t="s">
        <v>212</v>
      </c>
      <c r="K173" s="222" t="s">
        <v>212</v>
      </c>
      <c r="L173" s="77">
        <v>1972</v>
      </c>
      <c r="M173" s="1167"/>
      <c r="N173" s="1098">
        <v>10668.58</v>
      </c>
      <c r="O173" s="1098">
        <v>0</v>
      </c>
      <c r="P173" s="1099">
        <v>10668.58</v>
      </c>
    </row>
    <row r="174" spans="1:16" s="111" customFormat="1" ht="15" customHeight="1">
      <c r="A174" s="794"/>
      <c r="B174" s="795"/>
      <c r="C174" s="792"/>
      <c r="D174" s="1">
        <v>1</v>
      </c>
      <c r="E174" s="305"/>
      <c r="F174" s="22">
        <v>1</v>
      </c>
      <c r="G174" s="22">
        <v>1</v>
      </c>
      <c r="H174" s="22"/>
      <c r="I174" s="200" t="s">
        <v>338</v>
      </c>
      <c r="J174" s="22" t="s">
        <v>212</v>
      </c>
      <c r="K174" s="222" t="s">
        <v>212</v>
      </c>
      <c r="L174" s="22">
        <v>2000</v>
      </c>
      <c r="M174" s="1167"/>
      <c r="N174" s="1098"/>
      <c r="O174" s="1098"/>
      <c r="P174" s="1099"/>
    </row>
    <row r="175" spans="1:16" s="111" customFormat="1" ht="15" customHeight="1">
      <c r="A175" s="1126" t="s">
        <v>458</v>
      </c>
      <c r="B175" s="1127"/>
      <c r="C175" s="222"/>
      <c r="D175" s="1"/>
      <c r="E175" s="305"/>
      <c r="F175" s="22"/>
      <c r="G175" s="22"/>
      <c r="H175" s="22"/>
      <c r="I175" s="200"/>
      <c r="J175" s="22"/>
      <c r="K175" s="222"/>
      <c r="L175" s="22"/>
      <c r="M175" s="841"/>
      <c r="N175" s="567">
        <v>1040.4</v>
      </c>
      <c r="O175" s="567">
        <v>0</v>
      </c>
      <c r="P175" s="195">
        <v>1040.4</v>
      </c>
    </row>
    <row r="176" spans="1:16" s="215" customFormat="1" ht="15" customHeight="1">
      <c r="A176" s="1035" t="s">
        <v>22</v>
      </c>
      <c r="B176" s="1035"/>
      <c r="C176" s="318"/>
      <c r="D176" s="104">
        <f>SUM(D171:D174)</f>
        <v>4</v>
      </c>
      <c r="E176" s="205">
        <f>SUM(E171:E174)</f>
        <v>0</v>
      </c>
      <c r="F176" s="205">
        <f>SUM(F171:F174)</f>
        <v>4</v>
      </c>
      <c r="G176" s="205">
        <f>SUM(G171:G174)</f>
        <v>4</v>
      </c>
      <c r="H176" s="205">
        <f>SUM(H171:H174)</f>
        <v>0</v>
      </c>
      <c r="I176" s="310"/>
      <c r="J176" s="319"/>
      <c r="K176" s="207"/>
      <c r="L176" s="205"/>
      <c r="M176" s="214"/>
      <c r="N176" s="204">
        <f>SUM(N171:N175)</f>
        <v>46269.3</v>
      </c>
      <c r="O176" s="204">
        <f>SUM(O171:O174)</f>
        <v>0</v>
      </c>
      <c r="P176" s="204">
        <f>SUM(P171:P175)</f>
        <v>46269.3</v>
      </c>
    </row>
    <row r="177" spans="1:16" s="4" customFormat="1" ht="15" customHeight="1">
      <c r="A177" s="1027" t="s">
        <v>72</v>
      </c>
      <c r="B177" s="1027"/>
      <c r="C177" s="313"/>
      <c r="D177" s="365"/>
      <c r="E177" s="314"/>
      <c r="F177" s="314"/>
      <c r="G177" s="314"/>
      <c r="H177" s="314"/>
      <c r="I177" s="457"/>
      <c r="J177" s="315"/>
      <c r="K177" s="314"/>
      <c r="L177" s="314"/>
      <c r="M177" s="199"/>
      <c r="N177" s="199"/>
      <c r="O177" s="103"/>
      <c r="P177" s="103"/>
    </row>
    <row r="178" spans="1:16" s="50" customFormat="1" ht="57" customHeight="1">
      <c r="A178" s="39" t="s">
        <v>332</v>
      </c>
      <c r="B178" s="39" t="s">
        <v>333</v>
      </c>
      <c r="C178" s="39" t="s">
        <v>213</v>
      </c>
      <c r="D178" s="115" t="s">
        <v>36</v>
      </c>
      <c r="E178" s="115" t="s">
        <v>73</v>
      </c>
      <c r="F178" s="115" t="s">
        <v>74</v>
      </c>
      <c r="G178" s="115" t="s">
        <v>37</v>
      </c>
      <c r="H178" s="115" t="s">
        <v>38</v>
      </c>
      <c r="I178" s="39"/>
      <c r="J178" s="115" t="s">
        <v>15</v>
      </c>
      <c r="K178" s="115" t="s">
        <v>214</v>
      </c>
      <c r="L178" s="115" t="s">
        <v>39</v>
      </c>
      <c r="M178" s="115" t="s">
        <v>76</v>
      </c>
      <c r="N178" s="360" t="s">
        <v>508</v>
      </c>
      <c r="O178" s="607" t="s">
        <v>509</v>
      </c>
      <c r="P178" s="595" t="s">
        <v>58</v>
      </c>
    </row>
    <row r="179" spans="1:16" s="111" customFormat="1" ht="15" customHeight="1">
      <c r="A179" s="897"/>
      <c r="B179" s="795"/>
      <c r="C179" s="838"/>
      <c r="D179" s="1">
        <v>1</v>
      </c>
      <c r="E179" s="22"/>
      <c r="F179" s="22">
        <v>1</v>
      </c>
      <c r="G179" s="22">
        <v>1</v>
      </c>
      <c r="H179" s="285"/>
      <c r="I179" s="200" t="s">
        <v>459</v>
      </c>
      <c r="J179" s="22" t="s">
        <v>212</v>
      </c>
      <c r="K179" s="222" t="s">
        <v>212</v>
      </c>
      <c r="L179" s="22">
        <v>1994</v>
      </c>
      <c r="M179" s="841"/>
      <c r="N179" s="340">
        <v>14410.86</v>
      </c>
      <c r="O179" s="340">
        <v>0</v>
      </c>
      <c r="P179" s="338">
        <f>N179+O179</f>
        <v>14410.86</v>
      </c>
    </row>
    <row r="180" spans="1:16" s="111" customFormat="1" ht="15" customHeight="1">
      <c r="A180" s="836"/>
      <c r="B180" s="837"/>
      <c r="C180" s="838"/>
      <c r="D180" s="1">
        <v>1</v>
      </c>
      <c r="E180" s="22"/>
      <c r="F180" s="22">
        <v>1</v>
      </c>
      <c r="G180" s="22"/>
      <c r="H180" s="22">
        <v>1</v>
      </c>
      <c r="I180" s="200" t="s">
        <v>459</v>
      </c>
      <c r="J180" s="1" t="s">
        <v>16</v>
      </c>
      <c r="K180" s="1" t="s">
        <v>16</v>
      </c>
      <c r="L180" s="2">
        <v>1994</v>
      </c>
      <c r="M180" s="841"/>
      <c r="N180" s="340">
        <v>18345.6</v>
      </c>
      <c r="O180" s="340">
        <v>0</v>
      </c>
      <c r="P180" s="338">
        <f>N180+O180</f>
        <v>18345.6</v>
      </c>
    </row>
    <row r="181" spans="1:16" s="111" customFormat="1" ht="15" customHeight="1">
      <c r="A181" s="836"/>
      <c r="B181" s="837"/>
      <c r="C181" s="838"/>
      <c r="D181" s="1">
        <v>1</v>
      </c>
      <c r="E181" s="22">
        <v>1</v>
      </c>
      <c r="F181" s="285"/>
      <c r="G181" s="22"/>
      <c r="H181" s="22">
        <v>1</v>
      </c>
      <c r="I181" s="324" t="s">
        <v>419</v>
      </c>
      <c r="J181" s="1" t="s">
        <v>18</v>
      </c>
      <c r="K181" s="22"/>
      <c r="L181" s="22">
        <v>1973</v>
      </c>
      <c r="M181" s="1165"/>
      <c r="N181" s="1098">
        <v>0</v>
      </c>
      <c r="O181" s="1098">
        <v>4116</v>
      </c>
      <c r="P181" s="1099">
        <f>N181+O181</f>
        <v>4116</v>
      </c>
    </row>
    <row r="182" spans="1:16" s="111" customFormat="1" ht="15" customHeight="1">
      <c r="A182" s="836"/>
      <c r="B182" s="837"/>
      <c r="C182" s="838"/>
      <c r="D182" s="1">
        <v>1</v>
      </c>
      <c r="E182" s="22"/>
      <c r="F182" s="22">
        <v>1</v>
      </c>
      <c r="G182" s="22"/>
      <c r="H182" s="22">
        <v>1</v>
      </c>
      <c r="I182" s="434" t="s">
        <v>351</v>
      </c>
      <c r="J182" s="1" t="s">
        <v>18</v>
      </c>
      <c r="K182" s="222"/>
      <c r="L182" s="22">
        <v>1983</v>
      </c>
      <c r="M182" s="1165"/>
      <c r="N182" s="1098"/>
      <c r="O182" s="1098"/>
      <c r="P182" s="1099"/>
    </row>
    <row r="183" spans="1:16" s="111" customFormat="1" ht="15" customHeight="1">
      <c r="A183" s="836"/>
      <c r="B183" s="837"/>
      <c r="C183" s="838"/>
      <c r="D183" s="1">
        <v>1</v>
      </c>
      <c r="E183" s="22"/>
      <c r="F183" s="22">
        <v>1</v>
      </c>
      <c r="G183" s="22"/>
      <c r="H183" s="22">
        <v>1</v>
      </c>
      <c r="I183" s="382" t="s">
        <v>338</v>
      </c>
      <c r="J183" s="1" t="s">
        <v>18</v>
      </c>
      <c r="K183" s="222" t="s">
        <v>18</v>
      </c>
      <c r="L183" s="2">
        <v>2009</v>
      </c>
      <c r="M183" s="1165"/>
      <c r="N183" s="1098"/>
      <c r="O183" s="1098"/>
      <c r="P183" s="1099"/>
    </row>
    <row r="184" spans="1:16" s="111" customFormat="1" ht="15" customHeight="1">
      <c r="A184" s="836"/>
      <c r="B184" s="837"/>
      <c r="C184" s="838"/>
      <c r="D184" s="1">
        <v>1</v>
      </c>
      <c r="E184" s="22"/>
      <c r="F184" s="22">
        <v>1</v>
      </c>
      <c r="G184" s="22">
        <v>1</v>
      </c>
      <c r="H184" s="305"/>
      <c r="I184" s="200" t="s">
        <v>351</v>
      </c>
      <c r="J184" s="22" t="s">
        <v>212</v>
      </c>
      <c r="K184" s="22"/>
      <c r="L184" s="2">
        <v>1972</v>
      </c>
      <c r="M184" s="1164"/>
      <c r="N184" s="1098">
        <v>58391</v>
      </c>
      <c r="O184" s="1098">
        <v>0</v>
      </c>
      <c r="P184" s="1099">
        <v>58391</v>
      </c>
    </row>
    <row r="185" spans="1:16" s="111" customFormat="1" ht="15" customHeight="1">
      <c r="A185" s="836"/>
      <c r="B185" s="837"/>
      <c r="C185" s="838"/>
      <c r="D185" s="1">
        <v>1</v>
      </c>
      <c r="E185" s="22"/>
      <c r="F185" s="22">
        <v>1</v>
      </c>
      <c r="G185" s="22">
        <v>1</v>
      </c>
      <c r="H185" s="305"/>
      <c r="I185" s="382" t="s">
        <v>338</v>
      </c>
      <c r="J185" s="22" t="s">
        <v>212</v>
      </c>
      <c r="K185" s="22" t="s">
        <v>212</v>
      </c>
      <c r="L185" s="2">
        <v>2010</v>
      </c>
      <c r="M185" s="1164"/>
      <c r="N185" s="1098"/>
      <c r="O185" s="1098"/>
      <c r="P185" s="1099"/>
    </row>
    <row r="186" spans="1:16" s="111" customFormat="1" ht="15" customHeight="1">
      <c r="A186" s="836"/>
      <c r="B186" s="837"/>
      <c r="C186" s="838"/>
      <c r="D186" s="1">
        <v>1</v>
      </c>
      <c r="E186" s="22">
        <v>1</v>
      </c>
      <c r="F186" s="335"/>
      <c r="G186" s="22">
        <v>1</v>
      </c>
      <c r="H186" s="305"/>
      <c r="I186" s="382" t="s">
        <v>418</v>
      </c>
      <c r="J186" s="22" t="s">
        <v>212</v>
      </c>
      <c r="K186" s="22" t="s">
        <v>212</v>
      </c>
      <c r="L186" s="2">
        <v>2006</v>
      </c>
      <c r="M186" s="1164"/>
      <c r="N186" s="1098">
        <v>29280</v>
      </c>
      <c r="O186" s="1098">
        <v>0</v>
      </c>
      <c r="P186" s="1099">
        <f>N186+O186</f>
        <v>29280</v>
      </c>
    </row>
    <row r="187" spans="1:16" s="111" customFormat="1" ht="15" customHeight="1">
      <c r="A187" s="836"/>
      <c r="B187" s="837"/>
      <c r="C187" s="838"/>
      <c r="D187" s="1">
        <v>1</v>
      </c>
      <c r="E187" s="22"/>
      <c r="F187" s="22">
        <v>1</v>
      </c>
      <c r="G187" s="22">
        <v>1</v>
      </c>
      <c r="H187" s="305"/>
      <c r="I187" s="200" t="s">
        <v>338</v>
      </c>
      <c r="J187" s="22" t="s">
        <v>212</v>
      </c>
      <c r="K187" s="222" t="s">
        <v>212</v>
      </c>
      <c r="L187" s="2">
        <v>2008</v>
      </c>
      <c r="M187" s="1164"/>
      <c r="N187" s="1098"/>
      <c r="O187" s="1098"/>
      <c r="P187" s="1099"/>
    </row>
    <row r="188" spans="1:16" s="111" customFormat="1" ht="15" customHeight="1">
      <c r="A188" s="836"/>
      <c r="B188" s="837"/>
      <c r="C188" s="838"/>
      <c r="D188" s="1">
        <v>1</v>
      </c>
      <c r="E188" s="22"/>
      <c r="F188" s="22">
        <v>1</v>
      </c>
      <c r="G188" s="22">
        <v>1</v>
      </c>
      <c r="H188" s="22"/>
      <c r="I188" s="22" t="s">
        <v>338</v>
      </c>
      <c r="J188" s="22" t="s">
        <v>212</v>
      </c>
      <c r="K188" s="222" t="s">
        <v>212</v>
      </c>
      <c r="L188" s="2">
        <v>1997</v>
      </c>
      <c r="M188" s="908"/>
      <c r="N188" s="340">
        <v>49565.44</v>
      </c>
      <c r="O188" s="340">
        <v>0</v>
      </c>
      <c r="P188" s="338">
        <f>N188+O188</f>
        <v>49565.44</v>
      </c>
    </row>
    <row r="189" spans="1:16" s="111" customFormat="1" ht="15" customHeight="1">
      <c r="A189" s="836"/>
      <c r="B189" s="837"/>
      <c r="C189" s="838"/>
      <c r="D189" s="1">
        <v>1</v>
      </c>
      <c r="E189" s="22"/>
      <c r="F189" s="22">
        <v>1</v>
      </c>
      <c r="G189" s="22">
        <v>1</v>
      </c>
      <c r="H189" s="305"/>
      <c r="I189" s="382" t="s">
        <v>421</v>
      </c>
      <c r="J189" s="22" t="s">
        <v>212</v>
      </c>
      <c r="K189" s="222" t="s">
        <v>212</v>
      </c>
      <c r="L189" s="2">
        <v>1994</v>
      </c>
      <c r="M189" s="1164"/>
      <c r="N189" s="1098">
        <v>79408</v>
      </c>
      <c r="O189" s="1098">
        <v>0</v>
      </c>
      <c r="P189" s="1099">
        <f>N189+O189</f>
        <v>79408</v>
      </c>
    </row>
    <row r="190" spans="1:16" s="111" customFormat="1" ht="15" customHeight="1">
      <c r="A190" s="836"/>
      <c r="B190" s="837"/>
      <c r="C190" s="838"/>
      <c r="D190" s="1">
        <v>1</v>
      </c>
      <c r="E190" s="22"/>
      <c r="F190" s="22">
        <v>1</v>
      </c>
      <c r="G190" s="22">
        <v>1</v>
      </c>
      <c r="H190" s="22"/>
      <c r="I190" s="22" t="s">
        <v>459</v>
      </c>
      <c r="J190" s="22" t="s">
        <v>212</v>
      </c>
      <c r="K190" s="222" t="s">
        <v>212</v>
      </c>
      <c r="L190" s="22">
        <v>2003</v>
      </c>
      <c r="M190" s="1164"/>
      <c r="N190" s="1098"/>
      <c r="O190" s="1098"/>
      <c r="P190" s="1099"/>
    </row>
    <row r="191" spans="1:16" s="111" customFormat="1" ht="15" customHeight="1">
      <c r="A191" s="836"/>
      <c r="B191" s="837"/>
      <c r="C191" s="838"/>
      <c r="D191" s="1">
        <v>1</v>
      </c>
      <c r="E191" s="22">
        <v>1</v>
      </c>
      <c r="F191" s="22"/>
      <c r="G191" s="22">
        <v>1</v>
      </c>
      <c r="H191" s="305"/>
      <c r="I191" s="22" t="s">
        <v>459</v>
      </c>
      <c r="J191" s="22" t="s">
        <v>212</v>
      </c>
      <c r="K191" s="222" t="s">
        <v>212</v>
      </c>
      <c r="L191" s="22">
        <v>1999</v>
      </c>
      <c r="M191" s="1164"/>
      <c r="N191" s="1098"/>
      <c r="O191" s="1098"/>
      <c r="P191" s="1099"/>
    </row>
    <row r="192" spans="1:16" s="111" customFormat="1" ht="15" customHeight="1">
      <c r="A192" s="900"/>
      <c r="B192" s="837"/>
      <c r="C192" s="838"/>
      <c r="D192" s="1">
        <v>1</v>
      </c>
      <c r="E192" s="22"/>
      <c r="F192" s="22">
        <v>1</v>
      </c>
      <c r="G192" s="22"/>
      <c r="H192" s="22">
        <v>1</v>
      </c>
      <c r="I192" s="200" t="s">
        <v>351</v>
      </c>
      <c r="J192" s="1" t="s">
        <v>18</v>
      </c>
      <c r="K192" s="22"/>
      <c r="L192" s="22">
        <v>1977</v>
      </c>
      <c r="M192" s="1164"/>
      <c r="N192" s="1098">
        <v>41480.45</v>
      </c>
      <c r="O192" s="1098">
        <v>6439</v>
      </c>
      <c r="P192" s="1099">
        <f>N192+O192</f>
        <v>47919.45</v>
      </c>
    </row>
    <row r="193" spans="1:16" s="111" customFormat="1" ht="15" customHeight="1">
      <c r="A193" s="836"/>
      <c r="B193" s="837"/>
      <c r="C193" s="838"/>
      <c r="D193" s="1">
        <v>1</v>
      </c>
      <c r="E193" s="22">
        <v>1</v>
      </c>
      <c r="F193" s="22"/>
      <c r="G193" s="22"/>
      <c r="H193" s="22">
        <v>1</v>
      </c>
      <c r="I193" s="22" t="s">
        <v>418</v>
      </c>
      <c r="J193" s="1" t="s">
        <v>18</v>
      </c>
      <c r="K193" s="222" t="s">
        <v>18</v>
      </c>
      <c r="L193" s="22">
        <v>1999</v>
      </c>
      <c r="M193" s="1164"/>
      <c r="N193" s="1098"/>
      <c r="O193" s="1098"/>
      <c r="P193" s="1099"/>
    </row>
    <row r="194" spans="1:16" s="111" customFormat="1" ht="15" customHeight="1">
      <c r="A194" s="836"/>
      <c r="B194" s="837"/>
      <c r="C194" s="838"/>
      <c r="D194" s="1">
        <v>1</v>
      </c>
      <c r="E194" s="305"/>
      <c r="F194" s="22">
        <v>1</v>
      </c>
      <c r="G194" s="305"/>
      <c r="H194" s="22">
        <v>1</v>
      </c>
      <c r="I194" s="382" t="s">
        <v>338</v>
      </c>
      <c r="J194" s="1" t="s">
        <v>18</v>
      </c>
      <c r="K194" s="222" t="s">
        <v>18</v>
      </c>
      <c r="L194" s="22">
        <v>2001</v>
      </c>
      <c r="M194" s="1164"/>
      <c r="N194" s="1098"/>
      <c r="O194" s="1098"/>
      <c r="P194" s="1099"/>
    </row>
    <row r="195" spans="1:16" s="111" customFormat="1" ht="15" customHeight="1">
      <c r="A195" s="836"/>
      <c r="B195" s="837"/>
      <c r="C195" s="838"/>
      <c r="D195" s="1">
        <v>1</v>
      </c>
      <c r="E195" s="22"/>
      <c r="F195" s="22">
        <v>1</v>
      </c>
      <c r="G195" s="22"/>
      <c r="H195" s="22">
        <v>1</v>
      </c>
      <c r="I195" s="200" t="s">
        <v>351</v>
      </c>
      <c r="J195" s="1" t="s">
        <v>20</v>
      </c>
      <c r="K195" s="1" t="s">
        <v>20</v>
      </c>
      <c r="L195" s="1">
        <v>1980</v>
      </c>
      <c r="M195" s="1166"/>
      <c r="N195" s="1098">
        <v>16600.41</v>
      </c>
      <c r="O195" s="1098">
        <v>0</v>
      </c>
      <c r="P195" s="1098">
        <f>N195+O195</f>
        <v>16600.41</v>
      </c>
    </row>
    <row r="196" spans="1:16" s="111" customFormat="1" ht="15" customHeight="1">
      <c r="A196" s="836"/>
      <c r="B196" s="837"/>
      <c r="C196" s="838"/>
      <c r="D196" s="1">
        <v>1</v>
      </c>
      <c r="E196" s="22"/>
      <c r="F196" s="22">
        <v>1</v>
      </c>
      <c r="G196" s="22"/>
      <c r="H196" s="22">
        <v>1</v>
      </c>
      <c r="I196" s="324" t="s">
        <v>338</v>
      </c>
      <c r="J196" s="22" t="s">
        <v>212</v>
      </c>
      <c r="K196" s="1" t="s">
        <v>20</v>
      </c>
      <c r="L196" s="22">
        <v>2009</v>
      </c>
      <c r="M196" s="1166"/>
      <c r="N196" s="1098"/>
      <c r="O196" s="1098"/>
      <c r="P196" s="1098"/>
    </row>
    <row r="197" spans="1:16" s="111" customFormat="1" ht="15" customHeight="1">
      <c r="A197" s="836"/>
      <c r="B197" s="837"/>
      <c r="C197" s="838"/>
      <c r="D197" s="1">
        <v>1</v>
      </c>
      <c r="E197" s="22">
        <v>1</v>
      </c>
      <c r="F197" s="22"/>
      <c r="G197" s="22"/>
      <c r="H197" s="22">
        <v>1</v>
      </c>
      <c r="I197" s="324" t="s">
        <v>419</v>
      </c>
      <c r="J197" s="1" t="s">
        <v>18</v>
      </c>
      <c r="K197" s="22"/>
      <c r="L197" s="22">
        <v>1977</v>
      </c>
      <c r="M197" s="1165"/>
      <c r="N197" s="1098">
        <v>0</v>
      </c>
      <c r="O197" s="1098">
        <v>8800</v>
      </c>
      <c r="P197" s="1098">
        <f>N197+O197</f>
        <v>8800</v>
      </c>
    </row>
    <row r="198" spans="1:16" s="111" customFormat="1" ht="15" customHeight="1">
      <c r="A198" s="901"/>
      <c r="B198" s="901"/>
      <c r="C198" s="838"/>
      <c r="D198" s="1">
        <v>1</v>
      </c>
      <c r="E198" s="22"/>
      <c r="F198" s="22">
        <v>1</v>
      </c>
      <c r="G198" s="22"/>
      <c r="H198" s="22">
        <v>1</v>
      </c>
      <c r="I198" s="200" t="s">
        <v>351</v>
      </c>
      <c r="J198" s="1" t="s">
        <v>18</v>
      </c>
      <c r="K198" s="22"/>
      <c r="L198" s="22">
        <v>1982</v>
      </c>
      <c r="M198" s="1165"/>
      <c r="N198" s="1098"/>
      <c r="O198" s="1098"/>
      <c r="P198" s="1098"/>
    </row>
    <row r="199" spans="1:16" s="111" customFormat="1" ht="15" customHeight="1">
      <c r="A199" s="836"/>
      <c r="B199" s="837"/>
      <c r="C199" s="838"/>
      <c r="D199" s="1">
        <v>1</v>
      </c>
      <c r="E199" s="22"/>
      <c r="F199" s="22">
        <v>1</v>
      </c>
      <c r="G199" s="22"/>
      <c r="H199" s="22">
        <v>1</v>
      </c>
      <c r="I199" s="324" t="s">
        <v>338</v>
      </c>
      <c r="J199" s="22" t="s">
        <v>212</v>
      </c>
      <c r="K199" s="222" t="s">
        <v>18</v>
      </c>
      <c r="L199" s="2">
        <v>2012</v>
      </c>
      <c r="M199" s="1165"/>
      <c r="N199" s="1098"/>
      <c r="O199" s="1098"/>
      <c r="P199" s="1098"/>
    </row>
    <row r="200" spans="1:16" s="111" customFormat="1" ht="15" customHeight="1">
      <c r="A200" s="836"/>
      <c r="B200" s="837"/>
      <c r="C200" s="838"/>
      <c r="D200" s="1">
        <v>1</v>
      </c>
      <c r="E200" s="22">
        <v>1</v>
      </c>
      <c r="F200" s="22"/>
      <c r="G200" s="22"/>
      <c r="H200" s="22">
        <v>1</v>
      </c>
      <c r="I200" s="22" t="s">
        <v>418</v>
      </c>
      <c r="J200" s="22" t="s">
        <v>212</v>
      </c>
      <c r="K200" s="222" t="s">
        <v>18</v>
      </c>
      <c r="L200" s="22">
        <v>2010</v>
      </c>
      <c r="M200" s="1165"/>
      <c r="N200" s="1098"/>
      <c r="O200" s="1098"/>
      <c r="P200" s="1098"/>
    </row>
    <row r="201" spans="1:16" s="111" customFormat="1" ht="15" customHeight="1">
      <c r="A201" s="900"/>
      <c r="B201" s="902"/>
      <c r="C201" s="838"/>
      <c r="D201" s="1">
        <v>1</v>
      </c>
      <c r="E201" s="22"/>
      <c r="F201" s="22">
        <v>1</v>
      </c>
      <c r="G201" s="22">
        <v>1</v>
      </c>
      <c r="H201" s="22"/>
      <c r="I201" s="22" t="s">
        <v>351</v>
      </c>
      <c r="J201" s="22" t="s">
        <v>212</v>
      </c>
      <c r="K201" s="222"/>
      <c r="L201" s="22">
        <v>1971</v>
      </c>
      <c r="M201" s="1165"/>
      <c r="N201" s="1098">
        <v>0</v>
      </c>
      <c r="O201" s="1098">
        <v>3600.9</v>
      </c>
      <c r="P201" s="1098">
        <f>N201+O201</f>
        <v>3600.9</v>
      </c>
    </row>
    <row r="202" spans="1:16" s="111" customFormat="1" ht="15" customHeight="1">
      <c r="A202" s="791"/>
      <c r="B202" s="799"/>
      <c r="C202" s="792"/>
      <c r="D202" s="1">
        <v>1</v>
      </c>
      <c r="E202" s="22">
        <v>1</v>
      </c>
      <c r="F202" s="305"/>
      <c r="G202" s="22">
        <v>1</v>
      </c>
      <c r="H202" s="22"/>
      <c r="I202" s="200" t="s">
        <v>418</v>
      </c>
      <c r="J202" s="22" t="s">
        <v>212</v>
      </c>
      <c r="K202" s="22" t="s">
        <v>212</v>
      </c>
      <c r="L202" s="22">
        <v>2003</v>
      </c>
      <c r="M202" s="1165"/>
      <c r="N202" s="1098"/>
      <c r="O202" s="1098"/>
      <c r="P202" s="1098"/>
    </row>
    <row r="203" spans="1:16" s="111" customFormat="1" ht="15" customHeight="1">
      <c r="A203" s="836"/>
      <c r="B203" s="837"/>
      <c r="C203" s="838"/>
      <c r="D203" s="1">
        <v>1</v>
      </c>
      <c r="E203" s="22"/>
      <c r="F203" s="22">
        <v>1</v>
      </c>
      <c r="G203" s="22"/>
      <c r="H203" s="22">
        <v>1</v>
      </c>
      <c r="I203" s="200" t="s">
        <v>351</v>
      </c>
      <c r="J203" s="1" t="s">
        <v>427</v>
      </c>
      <c r="K203" s="222" t="s">
        <v>427</v>
      </c>
      <c r="L203" s="2">
        <v>1964</v>
      </c>
      <c r="M203" s="1165"/>
      <c r="N203" s="1098">
        <v>0</v>
      </c>
      <c r="O203" s="1098">
        <v>720.01</v>
      </c>
      <c r="P203" s="1098">
        <f>N203+O203</f>
        <v>720.01</v>
      </c>
    </row>
    <row r="204" spans="1:16" s="111" customFormat="1" ht="15" customHeight="1">
      <c r="A204" s="836"/>
      <c r="B204" s="837"/>
      <c r="C204" s="838"/>
      <c r="D204" s="1">
        <v>1</v>
      </c>
      <c r="E204" s="22">
        <v>1</v>
      </c>
      <c r="F204" s="22"/>
      <c r="G204" s="22"/>
      <c r="H204" s="22">
        <v>1</v>
      </c>
      <c r="I204" s="22" t="s">
        <v>418</v>
      </c>
      <c r="J204" s="222" t="s">
        <v>212</v>
      </c>
      <c r="K204" s="1" t="s">
        <v>427</v>
      </c>
      <c r="L204" s="22">
        <v>1995</v>
      </c>
      <c r="M204" s="1165"/>
      <c r="N204" s="1098"/>
      <c r="O204" s="1098"/>
      <c r="P204" s="1098"/>
    </row>
    <row r="205" spans="1:16" s="111" customFormat="1" ht="15" customHeight="1">
      <c r="A205" s="836"/>
      <c r="B205" s="837"/>
      <c r="C205" s="838"/>
      <c r="D205" s="1">
        <v>1</v>
      </c>
      <c r="E205" s="22"/>
      <c r="F205" s="22">
        <v>1</v>
      </c>
      <c r="G205" s="22"/>
      <c r="H205" s="22">
        <v>1</v>
      </c>
      <c r="I205" s="324" t="s">
        <v>338</v>
      </c>
      <c r="J205" s="222" t="s">
        <v>212</v>
      </c>
      <c r="K205" s="1" t="s">
        <v>427</v>
      </c>
      <c r="L205" s="22">
        <v>2000</v>
      </c>
      <c r="M205" s="1165"/>
      <c r="N205" s="1098"/>
      <c r="O205" s="1098"/>
      <c r="P205" s="1098"/>
    </row>
    <row r="206" spans="1:16" s="111" customFormat="1" ht="15" customHeight="1">
      <c r="A206" s="836"/>
      <c r="B206" s="837"/>
      <c r="C206" s="838"/>
      <c r="D206" s="1">
        <v>1</v>
      </c>
      <c r="E206" s="22">
        <v>1</v>
      </c>
      <c r="F206" s="305"/>
      <c r="G206" s="22">
        <v>1</v>
      </c>
      <c r="H206" s="22"/>
      <c r="I206" s="200" t="s">
        <v>459</v>
      </c>
      <c r="J206" s="1" t="s">
        <v>118</v>
      </c>
      <c r="K206" s="305" t="s">
        <v>150</v>
      </c>
      <c r="L206" s="22">
        <v>1996</v>
      </c>
      <c r="M206" s="908"/>
      <c r="N206" s="340">
        <v>47590.86</v>
      </c>
      <c r="O206" s="340">
        <v>0</v>
      </c>
      <c r="P206" s="340">
        <f>N206+O206</f>
        <v>47590.86</v>
      </c>
    </row>
    <row r="207" spans="1:16" s="111" customFormat="1" ht="15" customHeight="1">
      <c r="A207" s="791"/>
      <c r="B207" s="791"/>
      <c r="C207" s="790"/>
      <c r="D207" s="1">
        <v>1</v>
      </c>
      <c r="E207" s="22">
        <v>1</v>
      </c>
      <c r="F207" s="22"/>
      <c r="G207" s="22"/>
      <c r="H207" s="22">
        <v>1</v>
      </c>
      <c r="I207" s="324" t="s">
        <v>419</v>
      </c>
      <c r="J207" s="22" t="s">
        <v>327</v>
      </c>
      <c r="K207" s="222"/>
      <c r="L207" s="15">
        <v>1973</v>
      </c>
      <c r="M207" s="1164"/>
      <c r="N207" s="1099">
        <v>0</v>
      </c>
      <c r="O207" s="1099">
        <v>8878</v>
      </c>
      <c r="P207" s="1104">
        <f>N207+O207</f>
        <v>8878</v>
      </c>
    </row>
    <row r="208" spans="1:16" s="111" customFormat="1" ht="15" customHeight="1">
      <c r="A208" s="836"/>
      <c r="B208" s="837"/>
      <c r="C208" s="838"/>
      <c r="D208" s="1">
        <v>1</v>
      </c>
      <c r="E208" s="22"/>
      <c r="F208" s="22">
        <v>1</v>
      </c>
      <c r="G208" s="22">
        <v>1</v>
      </c>
      <c r="H208" s="22"/>
      <c r="I208" s="200" t="s">
        <v>351</v>
      </c>
      <c r="J208" s="22" t="s">
        <v>212</v>
      </c>
      <c r="K208" s="222"/>
      <c r="L208" s="15">
        <v>1964</v>
      </c>
      <c r="M208" s="1164"/>
      <c r="N208" s="1099"/>
      <c r="O208" s="1099"/>
      <c r="P208" s="1104"/>
    </row>
    <row r="209" spans="1:16" s="111" customFormat="1" ht="15" customHeight="1">
      <c r="A209" s="791"/>
      <c r="B209" s="791"/>
      <c r="C209" s="838"/>
      <c r="D209" s="1">
        <v>1</v>
      </c>
      <c r="E209" s="22">
        <v>1</v>
      </c>
      <c r="F209" s="22"/>
      <c r="G209" s="22">
        <v>1</v>
      </c>
      <c r="H209" s="305"/>
      <c r="I209" s="22" t="s">
        <v>418</v>
      </c>
      <c r="J209" s="22" t="s">
        <v>212</v>
      </c>
      <c r="K209" s="15" t="s">
        <v>423</v>
      </c>
      <c r="L209" s="15">
        <v>2006</v>
      </c>
      <c r="M209" s="1164"/>
      <c r="N209" s="1099"/>
      <c r="O209" s="1099"/>
      <c r="P209" s="1104"/>
    </row>
    <row r="210" spans="1:16" s="111" customFormat="1" ht="15" customHeight="1">
      <c r="A210" s="836"/>
      <c r="B210" s="837"/>
      <c r="C210" s="838"/>
      <c r="D210" s="1">
        <v>1</v>
      </c>
      <c r="E210" s="22"/>
      <c r="F210" s="22">
        <v>1</v>
      </c>
      <c r="G210" s="22"/>
      <c r="H210" s="22">
        <v>1</v>
      </c>
      <c r="I210" s="296"/>
      <c r="J210" s="222" t="s">
        <v>343</v>
      </c>
      <c r="K210" s="222"/>
      <c r="L210" s="22">
        <v>1957</v>
      </c>
      <c r="M210" s="1164"/>
      <c r="N210" s="1098">
        <v>0</v>
      </c>
      <c r="O210" s="1099">
        <v>2745</v>
      </c>
      <c r="P210" s="1104">
        <v>2745</v>
      </c>
    </row>
    <row r="211" spans="1:16" s="111" customFormat="1" ht="15" customHeight="1">
      <c r="A211" s="836"/>
      <c r="B211" s="837"/>
      <c r="C211" s="838"/>
      <c r="D211" s="1">
        <v>1</v>
      </c>
      <c r="E211" s="22"/>
      <c r="F211" s="22">
        <v>1</v>
      </c>
      <c r="G211" s="22"/>
      <c r="H211" s="22">
        <v>1</v>
      </c>
      <c r="I211" s="36"/>
      <c r="J211" s="222" t="s">
        <v>343</v>
      </c>
      <c r="K211" s="222"/>
      <c r="L211" s="22">
        <v>1978</v>
      </c>
      <c r="M211" s="1164"/>
      <c r="N211" s="1098"/>
      <c r="O211" s="1099"/>
      <c r="P211" s="1104"/>
    </row>
    <row r="212" spans="1:16" s="111" customFormat="1" ht="15" customHeight="1">
      <c r="A212" s="836"/>
      <c r="B212" s="837"/>
      <c r="C212" s="792"/>
      <c r="D212" s="1">
        <v>1</v>
      </c>
      <c r="E212" s="22"/>
      <c r="F212" s="22">
        <v>1</v>
      </c>
      <c r="G212" s="22"/>
      <c r="H212" s="22">
        <v>1</v>
      </c>
      <c r="I212" s="36"/>
      <c r="J212" s="222" t="s">
        <v>343</v>
      </c>
      <c r="K212" s="222"/>
      <c r="L212" s="22">
        <v>1980</v>
      </c>
      <c r="M212" s="1164"/>
      <c r="N212" s="1098"/>
      <c r="O212" s="1099"/>
      <c r="P212" s="1104"/>
    </row>
    <row r="213" spans="1:16" s="280" customFormat="1" ht="15" customHeight="1">
      <c r="A213" s="791"/>
      <c r="B213" s="791"/>
      <c r="C213" s="792"/>
      <c r="D213" s="1">
        <v>1</v>
      </c>
      <c r="E213" s="22">
        <v>1</v>
      </c>
      <c r="F213" s="22"/>
      <c r="G213" s="22"/>
      <c r="H213" s="22">
        <v>1</v>
      </c>
      <c r="I213" s="36"/>
      <c r="J213" s="22" t="s">
        <v>343</v>
      </c>
      <c r="K213" s="222" t="s">
        <v>343</v>
      </c>
      <c r="L213" s="15">
        <v>1999</v>
      </c>
      <c r="M213" s="1164"/>
      <c r="N213" s="1098"/>
      <c r="O213" s="1099"/>
      <c r="P213" s="1104"/>
    </row>
    <row r="214" spans="1:16" s="111" customFormat="1" ht="15" customHeight="1">
      <c r="A214" s="836"/>
      <c r="B214" s="837"/>
      <c r="C214" s="838"/>
      <c r="D214" s="1">
        <v>1</v>
      </c>
      <c r="E214" s="22"/>
      <c r="F214" s="22">
        <v>1</v>
      </c>
      <c r="G214" s="22"/>
      <c r="H214" s="22">
        <v>1</v>
      </c>
      <c r="I214" s="475"/>
      <c r="J214" s="222" t="s">
        <v>343</v>
      </c>
      <c r="K214" s="222" t="s">
        <v>343</v>
      </c>
      <c r="L214" s="2">
        <v>1999</v>
      </c>
      <c r="M214" s="1164"/>
      <c r="N214" s="1098"/>
      <c r="O214" s="1099"/>
      <c r="P214" s="1104"/>
    </row>
    <row r="215" spans="1:16" s="280" customFormat="1" ht="15" customHeight="1">
      <c r="A215" s="836"/>
      <c r="B215" s="837"/>
      <c r="C215" s="838"/>
      <c r="D215" s="1">
        <v>1</v>
      </c>
      <c r="E215" s="22"/>
      <c r="F215" s="22">
        <v>1</v>
      </c>
      <c r="G215" s="22"/>
      <c r="H215" s="22">
        <v>1</v>
      </c>
      <c r="I215" s="36"/>
      <c r="J215" s="22" t="s">
        <v>212</v>
      </c>
      <c r="K215" s="222" t="s">
        <v>343</v>
      </c>
      <c r="L215" s="22">
        <v>2012</v>
      </c>
      <c r="M215" s="1164"/>
      <c r="N215" s="1098"/>
      <c r="O215" s="1099"/>
      <c r="P215" s="1104"/>
    </row>
    <row r="216" spans="1:16" s="280" customFormat="1" ht="15" customHeight="1">
      <c r="A216" s="1126" t="s">
        <v>458</v>
      </c>
      <c r="B216" s="1127"/>
      <c r="C216" s="452"/>
      <c r="D216" s="1"/>
      <c r="E216" s="22"/>
      <c r="F216" s="22"/>
      <c r="G216" s="22"/>
      <c r="H216" s="22"/>
      <c r="I216" s="36"/>
      <c r="J216" s="22"/>
      <c r="K216" s="222"/>
      <c r="L216" s="22"/>
      <c r="M216" s="907"/>
      <c r="N216" s="567">
        <v>1040.52</v>
      </c>
      <c r="O216" s="195">
        <v>0</v>
      </c>
      <c r="P216" s="368">
        <f>N216+O216</f>
        <v>1040.52</v>
      </c>
    </row>
    <row r="217" spans="1:17" s="215" customFormat="1" ht="15" customHeight="1">
      <c r="A217" s="1035" t="s">
        <v>328</v>
      </c>
      <c r="B217" s="1035"/>
      <c r="C217" s="318"/>
      <c r="D217" s="104">
        <f>SUM(D179:D215)</f>
        <v>37</v>
      </c>
      <c r="E217" s="104">
        <f>SUM(E179:E215)</f>
        <v>12</v>
      </c>
      <c r="F217" s="104">
        <f>SUM(F179:F215)</f>
        <v>25</v>
      </c>
      <c r="G217" s="104">
        <f>SUM(G179:G215)</f>
        <v>14</v>
      </c>
      <c r="H217" s="104">
        <f>SUM(H179:H215)</f>
        <v>23</v>
      </c>
      <c r="I217" s="310"/>
      <c r="J217" s="319"/>
      <c r="K217" s="207"/>
      <c r="L217" s="104"/>
      <c r="M217" s="214"/>
      <c r="N217" s="204">
        <f>SUM(N179:N216)</f>
        <v>356113.13999999996</v>
      </c>
      <c r="O217" s="204">
        <f>SUM(O179:O216)</f>
        <v>35298.91</v>
      </c>
      <c r="P217" s="204">
        <f>SUM(P179:P216)</f>
        <v>391412.05</v>
      </c>
      <c r="Q217" s="343"/>
    </row>
    <row r="218" spans="1:18" s="208" customFormat="1" ht="15" customHeight="1">
      <c r="A218" s="1128" t="s">
        <v>468</v>
      </c>
      <c r="B218" s="1128"/>
      <c r="C218" s="131"/>
      <c r="D218" s="131">
        <f>D217+D176+D168+D152+D146+D136+D106+D98+D12</f>
        <v>176</v>
      </c>
      <c r="E218" s="131">
        <f>E217+E176+E168+E152+E146+E136+E106+E98+E12</f>
        <v>60</v>
      </c>
      <c r="F218" s="131">
        <f>F217+F176+F168+F152+F146+F136+F106+F98+F12</f>
        <v>116</v>
      </c>
      <c r="G218" s="131">
        <f>G217+G176+G168+G152+G146+G136+G106+G98+G12</f>
        <v>45</v>
      </c>
      <c r="H218" s="131">
        <f>H217+H176+H168+H152+H146+H136+H106+H98+H12</f>
        <v>131</v>
      </c>
      <c r="I218" s="131"/>
      <c r="J218" s="131"/>
      <c r="K218" s="131"/>
      <c r="L218" s="131"/>
      <c r="M218" s="454"/>
      <c r="N218" s="201">
        <f>N217+N176+N168+N152+N146+N136+N106+N98+N12</f>
        <v>1493476.42</v>
      </c>
      <c r="O218" s="201">
        <f>O217+O176+O168+O152+O146+O136+O106+O98+O12</f>
        <v>236926.96</v>
      </c>
      <c r="P218" s="150">
        <f>P217+P176+P168+P152+P146+P136+P106+P98+P12</f>
        <v>1730403.38</v>
      </c>
      <c r="R218" s="344"/>
    </row>
    <row r="219" spans="1:16" s="4" customFormat="1" ht="15" customHeight="1">
      <c r="A219" s="1027" t="s">
        <v>362</v>
      </c>
      <c r="B219" s="1027"/>
      <c r="C219" s="313"/>
      <c r="D219" s="365"/>
      <c r="E219" s="314"/>
      <c r="F219" s="314"/>
      <c r="G219" s="314"/>
      <c r="H219" s="314"/>
      <c r="I219" s="457"/>
      <c r="J219" s="315"/>
      <c r="K219" s="314"/>
      <c r="L219" s="314"/>
      <c r="M219" s="199"/>
      <c r="N219" s="199"/>
      <c r="O219" s="103"/>
      <c r="P219" s="103"/>
    </row>
    <row r="220" spans="1:16" s="50" customFormat="1" ht="57" customHeight="1">
      <c r="A220" s="39" t="s">
        <v>332</v>
      </c>
      <c r="B220" s="39" t="s">
        <v>333</v>
      </c>
      <c r="C220" s="39" t="s">
        <v>213</v>
      </c>
      <c r="D220" s="115" t="s">
        <v>36</v>
      </c>
      <c r="E220" s="115" t="s">
        <v>73</v>
      </c>
      <c r="F220" s="115" t="s">
        <v>74</v>
      </c>
      <c r="G220" s="115" t="s">
        <v>37</v>
      </c>
      <c r="H220" s="115" t="s">
        <v>38</v>
      </c>
      <c r="I220" s="39"/>
      <c r="J220" s="115" t="s">
        <v>15</v>
      </c>
      <c r="K220" s="115" t="s">
        <v>214</v>
      </c>
      <c r="L220" s="115" t="s">
        <v>39</v>
      </c>
      <c r="M220" s="115" t="s">
        <v>76</v>
      </c>
      <c r="N220" s="360" t="s">
        <v>508</v>
      </c>
      <c r="O220" s="607" t="s">
        <v>509</v>
      </c>
      <c r="P220" s="595" t="s">
        <v>58</v>
      </c>
    </row>
    <row r="221" spans="1:16" s="317" customFormat="1" ht="15" customHeight="1">
      <c r="A221" s="794"/>
      <c r="B221" s="794"/>
      <c r="C221" s="794"/>
      <c r="D221" s="1">
        <v>1</v>
      </c>
      <c r="E221" s="345"/>
      <c r="F221" s="1">
        <v>1</v>
      </c>
      <c r="G221" s="345"/>
      <c r="H221" s="1">
        <v>1</v>
      </c>
      <c r="I221" s="22" t="s">
        <v>459</v>
      </c>
      <c r="J221" s="222" t="s">
        <v>20</v>
      </c>
      <c r="K221" s="222" t="s">
        <v>20</v>
      </c>
      <c r="L221" s="2">
        <v>1997</v>
      </c>
      <c r="M221" s="841"/>
      <c r="N221" s="340">
        <v>902.3</v>
      </c>
      <c r="O221" s="195">
        <v>0</v>
      </c>
      <c r="P221" s="195">
        <f>N221+O221</f>
        <v>902.3</v>
      </c>
    </row>
    <row r="222" spans="1:18" s="208" customFormat="1" ht="15" customHeight="1">
      <c r="A222" s="1035" t="s">
        <v>182</v>
      </c>
      <c r="B222" s="1035"/>
      <c r="C222" s="131"/>
      <c r="D222" s="205">
        <f>SUM(D221:D221)</f>
        <v>1</v>
      </c>
      <c r="E222" s="302"/>
      <c r="F222" s="205">
        <f>SUM(F221)</f>
        <v>1</v>
      </c>
      <c r="G222" s="131"/>
      <c r="H222" s="205">
        <f>SUM(H221)</f>
        <v>1</v>
      </c>
      <c r="I222" s="131"/>
      <c r="J222" s="131"/>
      <c r="K222" s="131"/>
      <c r="L222" s="131"/>
      <c r="M222" s="454"/>
      <c r="N222" s="204">
        <f>SUM(N221)</f>
        <v>902.3</v>
      </c>
      <c r="O222" s="204">
        <f>SUM(O221)</f>
        <v>0</v>
      </c>
      <c r="P222" s="204">
        <f>SUM(P221:P221)</f>
        <v>902.3</v>
      </c>
      <c r="R222" s="344"/>
    </row>
    <row r="223" spans="1:16" s="66" customFormat="1" ht="15" customHeight="1">
      <c r="A223" s="1037" t="s">
        <v>94</v>
      </c>
      <c r="B223" s="1037"/>
      <c r="C223" s="107"/>
      <c r="D223" s="101"/>
      <c r="E223" s="107"/>
      <c r="F223" s="149"/>
      <c r="G223" s="149"/>
      <c r="H223" s="149"/>
      <c r="I223" s="107"/>
      <c r="J223" s="150"/>
      <c r="K223" s="350"/>
      <c r="L223" s="149"/>
      <c r="M223" s="350"/>
      <c r="N223" s="201">
        <f>N218+N222</f>
        <v>1494378.72</v>
      </c>
      <c r="O223" s="201">
        <f>O222+O218</f>
        <v>236926.96</v>
      </c>
      <c r="P223" s="201">
        <f>P222+P218</f>
        <v>1731305.68</v>
      </c>
    </row>
    <row r="224" spans="1:16" ht="12.75">
      <c r="A224" s="2"/>
      <c r="B224" s="132"/>
      <c r="C224" s="2"/>
      <c r="D224" s="132"/>
      <c r="E224" s="348"/>
      <c r="F224" s="132"/>
      <c r="G224" s="132"/>
      <c r="H224" s="132"/>
      <c r="I224" s="132"/>
      <c r="J224" s="132"/>
      <c r="K224" s="132"/>
      <c r="L224" s="132"/>
      <c r="M224" s="349"/>
      <c r="N224" s="197"/>
      <c r="O224" s="197"/>
      <c r="P224" s="613"/>
    </row>
    <row r="225" spans="1:16" s="8" customFormat="1" ht="15" customHeight="1">
      <c r="A225" s="117" t="s">
        <v>445</v>
      </c>
      <c r="B225" s="138"/>
      <c r="C225" s="27"/>
      <c r="D225" s="27"/>
      <c r="E225" s="138"/>
      <c r="F225" s="140"/>
      <c r="G225" s="27"/>
      <c r="H225" s="153"/>
      <c r="I225" s="153"/>
      <c r="J225" s="153"/>
      <c r="K225" s="483"/>
      <c r="L225" s="483"/>
      <c r="M225" s="483"/>
      <c r="N225" s="483"/>
      <c r="O225" s="483"/>
      <c r="P225" s="483"/>
    </row>
    <row r="226" spans="1:16" s="50" customFormat="1" ht="57" customHeight="1">
      <c r="A226" s="39" t="s">
        <v>332</v>
      </c>
      <c r="B226" s="39" t="s">
        <v>333</v>
      </c>
      <c r="C226" s="39" t="s">
        <v>213</v>
      </c>
      <c r="D226" s="115" t="s">
        <v>36</v>
      </c>
      <c r="E226" s="115" t="s">
        <v>73</v>
      </c>
      <c r="F226" s="115" t="s">
        <v>74</v>
      </c>
      <c r="G226" s="115" t="s">
        <v>37</v>
      </c>
      <c r="H226" s="115" t="s">
        <v>38</v>
      </c>
      <c r="I226" s="39"/>
      <c r="J226" s="115" t="s">
        <v>15</v>
      </c>
      <c r="K226" s="115" t="s">
        <v>214</v>
      </c>
      <c r="L226" s="115" t="s">
        <v>39</v>
      </c>
      <c r="M226" s="115" t="s">
        <v>76</v>
      </c>
      <c r="N226" s="360" t="s">
        <v>508</v>
      </c>
      <c r="O226" s="607" t="s">
        <v>509</v>
      </c>
      <c r="P226" s="595" t="s">
        <v>58</v>
      </c>
    </row>
    <row r="227" spans="1:16" s="8" customFormat="1" ht="15" customHeight="1">
      <c r="A227" s="791"/>
      <c r="B227" s="791"/>
      <c r="C227" s="903"/>
      <c r="D227" s="139">
        <v>1</v>
      </c>
      <c r="E227" s="22">
        <v>1</v>
      </c>
      <c r="F227" s="22"/>
      <c r="G227" s="21"/>
      <c r="H227" s="22">
        <v>1</v>
      </c>
      <c r="I227" s="23" t="s">
        <v>459</v>
      </c>
      <c r="J227" s="23" t="s">
        <v>427</v>
      </c>
      <c r="K227" s="23" t="s">
        <v>427</v>
      </c>
      <c r="L227" s="2">
        <v>1995</v>
      </c>
      <c r="M227" s="790"/>
      <c r="N227" s="145">
        <v>15974.4</v>
      </c>
      <c r="O227" s="195">
        <v>0</v>
      </c>
      <c r="P227" s="145">
        <f>N227+O227</f>
        <v>15974.4</v>
      </c>
    </row>
    <row r="228" spans="1:16" s="8" customFormat="1" ht="15" customHeight="1">
      <c r="A228" s="791"/>
      <c r="B228" s="791"/>
      <c r="C228" s="873"/>
      <c r="D228" s="139">
        <v>1</v>
      </c>
      <c r="E228" s="22">
        <v>1</v>
      </c>
      <c r="F228" s="22"/>
      <c r="G228" s="21"/>
      <c r="H228" s="22">
        <v>1</v>
      </c>
      <c r="I228" s="23" t="s">
        <v>459</v>
      </c>
      <c r="J228" s="23" t="s">
        <v>488</v>
      </c>
      <c r="K228" s="23" t="s">
        <v>488</v>
      </c>
      <c r="L228" s="2">
        <v>1995</v>
      </c>
      <c r="M228" s="790"/>
      <c r="N228" s="145">
        <v>46300.8</v>
      </c>
      <c r="O228" s="195">
        <v>0</v>
      </c>
      <c r="P228" s="145">
        <v>46300.8</v>
      </c>
    </row>
    <row r="229" spans="1:16" s="66" customFormat="1" ht="15" customHeight="1">
      <c r="A229" s="1037" t="s">
        <v>94</v>
      </c>
      <c r="B229" s="1037"/>
      <c r="C229" s="107"/>
      <c r="D229" s="107">
        <f>SUM(D227:D228)</f>
        <v>2</v>
      </c>
      <c r="E229" s="107">
        <f>SUM(E227:E228)</f>
        <v>2</v>
      </c>
      <c r="F229" s="149"/>
      <c r="G229" s="149"/>
      <c r="H229" s="107">
        <f>SUM(H227:H228)</f>
        <v>2</v>
      </c>
      <c r="I229" s="107"/>
      <c r="J229" s="150"/>
      <c r="K229" s="350"/>
      <c r="L229" s="149"/>
      <c r="M229" s="350"/>
      <c r="N229" s="201">
        <f>SUM(N227:N228)</f>
        <v>62275.200000000004</v>
      </c>
      <c r="O229" s="201">
        <f>O228+O224</f>
        <v>0</v>
      </c>
      <c r="P229" s="201">
        <f>SUM(P227:P228)</f>
        <v>62275.200000000004</v>
      </c>
    </row>
  </sheetData>
  <mergeCells count="250">
    <mergeCell ref="A1:O1"/>
    <mergeCell ref="M6:M7"/>
    <mergeCell ref="N6:N7"/>
    <mergeCell ref="O6:O7"/>
    <mergeCell ref="A13:B13"/>
    <mergeCell ref="A98:B98"/>
    <mergeCell ref="A99:B99"/>
    <mergeCell ref="A106:B106"/>
    <mergeCell ref="A97:B97"/>
    <mergeCell ref="A105:B105"/>
    <mergeCell ref="P6:P7"/>
    <mergeCell ref="A2:P2"/>
    <mergeCell ref="A3:B3"/>
    <mergeCell ref="A12:B12"/>
    <mergeCell ref="M8:M10"/>
    <mergeCell ref="N8:N10"/>
    <mergeCell ref="O8:O10"/>
    <mergeCell ref="P8:P10"/>
    <mergeCell ref="A11:B11"/>
    <mergeCell ref="A107:B107"/>
    <mergeCell ref="A136:B136"/>
    <mergeCell ref="A137:B137"/>
    <mergeCell ref="A146:B146"/>
    <mergeCell ref="A135:B135"/>
    <mergeCell ref="A145:B145"/>
    <mergeCell ref="A147:B147"/>
    <mergeCell ref="A152:B152"/>
    <mergeCell ref="A153:B153"/>
    <mergeCell ref="A168:B168"/>
    <mergeCell ref="A151:B151"/>
    <mergeCell ref="A167:B167"/>
    <mergeCell ref="A169:B169"/>
    <mergeCell ref="A177:B177"/>
    <mergeCell ref="A217:B217"/>
    <mergeCell ref="A218:B218"/>
    <mergeCell ref="A176:B176"/>
    <mergeCell ref="A175:B175"/>
    <mergeCell ref="A216:B216"/>
    <mergeCell ref="M15:M17"/>
    <mergeCell ref="N15:N17"/>
    <mergeCell ref="O15:O17"/>
    <mergeCell ref="P15:P17"/>
    <mergeCell ref="N18:N21"/>
    <mergeCell ref="O18:O21"/>
    <mergeCell ref="P18:P21"/>
    <mergeCell ref="M24:M25"/>
    <mergeCell ref="N24:N25"/>
    <mergeCell ref="O24:O25"/>
    <mergeCell ref="P24:P25"/>
    <mergeCell ref="M18:M21"/>
    <mergeCell ref="M27:M28"/>
    <mergeCell ref="N27:N28"/>
    <mergeCell ref="O27:O28"/>
    <mergeCell ref="P27:P28"/>
    <mergeCell ref="M29:M30"/>
    <mergeCell ref="N29:N30"/>
    <mergeCell ref="O29:O30"/>
    <mergeCell ref="P29:P30"/>
    <mergeCell ref="M31:M32"/>
    <mergeCell ref="N31:N32"/>
    <mergeCell ref="O31:O32"/>
    <mergeCell ref="P31:P32"/>
    <mergeCell ref="M34:M36"/>
    <mergeCell ref="N34:N36"/>
    <mergeCell ref="O34:O36"/>
    <mergeCell ref="P34:P36"/>
    <mergeCell ref="M37:M41"/>
    <mergeCell ref="N37:N41"/>
    <mergeCell ref="O37:O41"/>
    <mergeCell ref="P37:P41"/>
    <mergeCell ref="M42:M43"/>
    <mergeCell ref="N42:N43"/>
    <mergeCell ref="O42:O43"/>
    <mergeCell ref="P42:P43"/>
    <mergeCell ref="M44:M45"/>
    <mergeCell ref="N44:N45"/>
    <mergeCell ref="O44:O45"/>
    <mergeCell ref="P44:P45"/>
    <mergeCell ref="M47:M48"/>
    <mergeCell ref="N47:N48"/>
    <mergeCell ref="O47:O48"/>
    <mergeCell ref="P47:P48"/>
    <mergeCell ref="M49:M51"/>
    <mergeCell ref="N49:N51"/>
    <mergeCell ref="O49:O51"/>
    <mergeCell ref="P49:P51"/>
    <mergeCell ref="M52:M53"/>
    <mergeCell ref="N52:N53"/>
    <mergeCell ref="O52:O53"/>
    <mergeCell ref="P52:P53"/>
    <mergeCell ref="M55:M56"/>
    <mergeCell ref="N55:N56"/>
    <mergeCell ref="O55:O56"/>
    <mergeCell ref="P55:P56"/>
    <mergeCell ref="M57:M61"/>
    <mergeCell ref="N57:N61"/>
    <mergeCell ref="O57:O61"/>
    <mergeCell ref="P57:P61"/>
    <mergeCell ref="M64:M68"/>
    <mergeCell ref="N64:N68"/>
    <mergeCell ref="O64:O68"/>
    <mergeCell ref="P64:P68"/>
    <mergeCell ref="M69:M70"/>
    <mergeCell ref="N69:N70"/>
    <mergeCell ref="O69:O70"/>
    <mergeCell ref="P69:P70"/>
    <mergeCell ref="M73:M74"/>
    <mergeCell ref="N73:N74"/>
    <mergeCell ref="O73:O74"/>
    <mergeCell ref="P73:P74"/>
    <mergeCell ref="M76:M79"/>
    <mergeCell ref="N76:N79"/>
    <mergeCell ref="O76:O79"/>
    <mergeCell ref="P76:P79"/>
    <mergeCell ref="M82:M85"/>
    <mergeCell ref="N82:N85"/>
    <mergeCell ref="O82:O85"/>
    <mergeCell ref="P82:P85"/>
    <mergeCell ref="N80:N81"/>
    <mergeCell ref="M80:M81"/>
    <mergeCell ref="P80:P81"/>
    <mergeCell ref="O80:O81"/>
    <mergeCell ref="M86:M88"/>
    <mergeCell ref="N86:N88"/>
    <mergeCell ref="O86:O88"/>
    <mergeCell ref="P86:P88"/>
    <mergeCell ref="M89:M90"/>
    <mergeCell ref="N89:N90"/>
    <mergeCell ref="O89:O90"/>
    <mergeCell ref="P89:P90"/>
    <mergeCell ref="M92:M93"/>
    <mergeCell ref="N92:N93"/>
    <mergeCell ref="O92:O93"/>
    <mergeCell ref="P92:P93"/>
    <mergeCell ref="M94:M95"/>
    <mergeCell ref="N94:N95"/>
    <mergeCell ref="O94:O95"/>
    <mergeCell ref="P94:P95"/>
    <mergeCell ref="M103:M104"/>
    <mergeCell ref="N103:N104"/>
    <mergeCell ref="O103:O104"/>
    <mergeCell ref="P103:P104"/>
    <mergeCell ref="M109:M112"/>
    <mergeCell ref="N109:N112"/>
    <mergeCell ref="O109:O112"/>
    <mergeCell ref="P109:P112"/>
    <mergeCell ref="M113:M115"/>
    <mergeCell ref="N113:N115"/>
    <mergeCell ref="O113:O115"/>
    <mergeCell ref="P113:P115"/>
    <mergeCell ref="M116:M118"/>
    <mergeCell ref="N116:N118"/>
    <mergeCell ref="O116:O118"/>
    <mergeCell ref="P116:P118"/>
    <mergeCell ref="M119:M120"/>
    <mergeCell ref="N119:N120"/>
    <mergeCell ref="O119:O120"/>
    <mergeCell ref="P119:P120"/>
    <mergeCell ref="M124:M127"/>
    <mergeCell ref="N124:N127"/>
    <mergeCell ref="O124:O127"/>
    <mergeCell ref="P124:P127"/>
    <mergeCell ref="M128:M130"/>
    <mergeCell ref="N128:N130"/>
    <mergeCell ref="O128:O130"/>
    <mergeCell ref="P128:P130"/>
    <mergeCell ref="M131:M134"/>
    <mergeCell ref="N131:N134"/>
    <mergeCell ref="O131:O134"/>
    <mergeCell ref="P131:P134"/>
    <mergeCell ref="M139:M140"/>
    <mergeCell ref="O139:O140"/>
    <mergeCell ref="N139:N140"/>
    <mergeCell ref="P139:P140"/>
    <mergeCell ref="M142:M143"/>
    <mergeCell ref="N142:N143"/>
    <mergeCell ref="O142:O143"/>
    <mergeCell ref="P142:P143"/>
    <mergeCell ref="M149:M150"/>
    <mergeCell ref="N149:N150"/>
    <mergeCell ref="O149:O150"/>
    <mergeCell ref="P149:P150"/>
    <mergeCell ref="M155:M158"/>
    <mergeCell ref="N155:N158"/>
    <mergeCell ref="O155:O158"/>
    <mergeCell ref="P155:P158"/>
    <mergeCell ref="M160:M161"/>
    <mergeCell ref="N160:N161"/>
    <mergeCell ref="O160:O161"/>
    <mergeCell ref="P160:P161"/>
    <mergeCell ref="M162:M164"/>
    <mergeCell ref="N162:N164"/>
    <mergeCell ref="O162:O164"/>
    <mergeCell ref="P162:P164"/>
    <mergeCell ref="M171:M172"/>
    <mergeCell ref="N171:N172"/>
    <mergeCell ref="O171:O172"/>
    <mergeCell ref="P171:P172"/>
    <mergeCell ref="M173:M174"/>
    <mergeCell ref="N173:N174"/>
    <mergeCell ref="O173:O174"/>
    <mergeCell ref="P173:P174"/>
    <mergeCell ref="M181:M183"/>
    <mergeCell ref="N181:N183"/>
    <mergeCell ref="O181:O183"/>
    <mergeCell ref="P181:P183"/>
    <mergeCell ref="P186:P187"/>
    <mergeCell ref="M184:M185"/>
    <mergeCell ref="O184:O185"/>
    <mergeCell ref="M189:M191"/>
    <mergeCell ref="N189:N191"/>
    <mergeCell ref="O189:O191"/>
    <mergeCell ref="P189:P191"/>
    <mergeCell ref="N184:N185"/>
    <mergeCell ref="P184:P185"/>
    <mergeCell ref="M186:M187"/>
    <mergeCell ref="N186:N187"/>
    <mergeCell ref="O186:O187"/>
    <mergeCell ref="M192:M194"/>
    <mergeCell ref="N192:N194"/>
    <mergeCell ref="O192:O194"/>
    <mergeCell ref="P192:P194"/>
    <mergeCell ref="P201:P202"/>
    <mergeCell ref="M197:M200"/>
    <mergeCell ref="N197:N200"/>
    <mergeCell ref="O197:O200"/>
    <mergeCell ref="P197:P200"/>
    <mergeCell ref="M195:M196"/>
    <mergeCell ref="N195:N196"/>
    <mergeCell ref="O195:O196"/>
    <mergeCell ref="P195:P196"/>
    <mergeCell ref="A229:B229"/>
    <mergeCell ref="M201:M202"/>
    <mergeCell ref="N201:N202"/>
    <mergeCell ref="O201:O202"/>
    <mergeCell ref="A219:B219"/>
    <mergeCell ref="A222:B222"/>
    <mergeCell ref="A223:B223"/>
    <mergeCell ref="M210:M215"/>
    <mergeCell ref="N210:N215"/>
    <mergeCell ref="O210:O215"/>
    <mergeCell ref="P210:P215"/>
    <mergeCell ref="P203:P205"/>
    <mergeCell ref="M207:M209"/>
    <mergeCell ref="N207:N209"/>
    <mergeCell ref="O207:O209"/>
    <mergeCell ref="P207:P209"/>
    <mergeCell ref="M203:M205"/>
    <mergeCell ref="N203:N205"/>
    <mergeCell ref="O203:O20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N29"/>
  <sheetViews>
    <sheetView workbookViewId="0" topLeftCell="A4">
      <selection activeCell="D36" sqref="D36"/>
    </sheetView>
  </sheetViews>
  <sheetFormatPr defaultColWidth="9.140625" defaultRowHeight="12.75"/>
  <cols>
    <col min="1" max="2" width="15.7109375" style="510" customWidth="1"/>
    <col min="3" max="3" width="25.7109375" style="510" customWidth="1"/>
    <col min="4" max="4" width="7.7109375" style="510" customWidth="1"/>
    <col min="5" max="6" width="5.7109375" style="510" customWidth="1"/>
    <col min="7" max="8" width="9.7109375" style="510" customWidth="1"/>
    <col min="9" max="9" width="13.7109375" style="510" customWidth="1"/>
    <col min="10" max="10" width="11.8515625" style="510" customWidth="1"/>
    <col min="11" max="11" width="22.140625" style="510" customWidth="1"/>
    <col min="12" max="12" width="11.57421875" style="510" customWidth="1"/>
    <col min="13" max="13" width="25.28125" style="510" customWidth="1"/>
    <col min="14" max="16384" width="9.140625" style="510" customWidth="1"/>
  </cols>
  <sheetData>
    <row r="1" spans="1:14" ht="30.75" customHeight="1">
      <c r="A1" s="1013" t="s">
        <v>347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543">
        <v>40071123</v>
      </c>
      <c r="N1" s="509"/>
    </row>
    <row r="2" spans="1:13" ht="60.75" customHeight="1">
      <c r="A2" s="1009" t="s">
        <v>237</v>
      </c>
      <c r="B2" s="1020"/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994"/>
    </row>
    <row r="3" spans="1:13" ht="15" customHeight="1">
      <c r="A3" s="1015" t="s">
        <v>70</v>
      </c>
      <c r="B3" s="1015"/>
      <c r="C3" s="522"/>
      <c r="D3" s="523"/>
      <c r="E3" s="523"/>
      <c r="F3" s="523"/>
      <c r="G3" s="523"/>
      <c r="H3" s="523"/>
      <c r="I3" s="523"/>
      <c r="J3" s="523"/>
      <c r="K3" s="523"/>
      <c r="L3" s="523"/>
      <c r="M3" s="523"/>
    </row>
    <row r="4" spans="1:13" ht="15" customHeight="1">
      <c r="A4" s="522"/>
      <c r="B4" s="522"/>
      <c r="C4" s="522"/>
      <c r="D4" s="523"/>
      <c r="E4" s="523"/>
      <c r="F4" s="523"/>
      <c r="G4" s="523"/>
      <c r="H4" s="523"/>
      <c r="I4" s="523"/>
      <c r="J4" s="523"/>
      <c r="K4" s="511" t="s">
        <v>348</v>
      </c>
      <c r="L4" s="511" t="s">
        <v>349</v>
      </c>
      <c r="M4" s="524" t="s">
        <v>438</v>
      </c>
    </row>
    <row r="5" spans="1:13" ht="30" customHeight="1">
      <c r="A5" s="511" t="s">
        <v>332</v>
      </c>
      <c r="B5" s="511" t="s">
        <v>350</v>
      </c>
      <c r="C5" s="511" t="s">
        <v>213</v>
      </c>
      <c r="D5" s="511" t="s">
        <v>36</v>
      </c>
      <c r="E5" s="512" t="s">
        <v>73</v>
      </c>
      <c r="F5" s="512" t="s">
        <v>74</v>
      </c>
      <c r="G5" s="512" t="s">
        <v>37</v>
      </c>
      <c r="H5" s="512" t="s">
        <v>38</v>
      </c>
      <c r="I5" s="512" t="s">
        <v>15</v>
      </c>
      <c r="J5" s="512" t="s">
        <v>39</v>
      </c>
      <c r="K5" s="511">
        <v>9</v>
      </c>
      <c r="L5" s="511">
        <v>24</v>
      </c>
      <c r="M5" s="524"/>
    </row>
    <row r="6" spans="1:13" ht="15" customHeight="1">
      <c r="A6" s="784"/>
      <c r="B6" s="784"/>
      <c r="C6" s="784"/>
      <c r="D6" s="580">
        <v>1</v>
      </c>
      <c r="E6" s="581">
        <v>1</v>
      </c>
      <c r="F6" s="581"/>
      <c r="G6" s="581"/>
      <c r="H6" s="581">
        <v>1</v>
      </c>
      <c r="I6" s="581" t="s">
        <v>342</v>
      </c>
      <c r="J6" s="581">
        <v>1989</v>
      </c>
      <c r="K6" s="581"/>
      <c r="L6" s="581"/>
      <c r="M6" s="560"/>
    </row>
    <row r="7" spans="1:13" ht="15" customHeight="1">
      <c r="A7" s="784"/>
      <c r="B7" s="784"/>
      <c r="C7" s="784"/>
      <c r="D7" s="580">
        <v>1</v>
      </c>
      <c r="E7" s="581"/>
      <c r="F7" s="581">
        <v>1</v>
      </c>
      <c r="G7" s="581">
        <v>1</v>
      </c>
      <c r="H7" s="581"/>
      <c r="I7" s="581"/>
      <c r="J7" s="581">
        <v>1955</v>
      </c>
      <c r="K7" s="581"/>
      <c r="L7" s="581"/>
      <c r="M7" s="560"/>
    </row>
    <row r="8" spans="1:13" ht="15" customHeight="1">
      <c r="A8" s="784"/>
      <c r="B8" s="784"/>
      <c r="C8" s="784"/>
      <c r="D8" s="580">
        <v>1</v>
      </c>
      <c r="E8" s="581"/>
      <c r="F8" s="581">
        <v>1</v>
      </c>
      <c r="G8" s="581">
        <v>1</v>
      </c>
      <c r="H8" s="581"/>
      <c r="I8" s="581"/>
      <c r="J8" s="581">
        <v>1964</v>
      </c>
      <c r="K8" s="581"/>
      <c r="L8" s="581"/>
      <c r="M8" s="560"/>
    </row>
    <row r="9" spans="1:13" ht="15" customHeight="1">
      <c r="A9" s="784"/>
      <c r="B9" s="784"/>
      <c r="C9" s="784"/>
      <c r="D9" s="580">
        <v>1</v>
      </c>
      <c r="E9" s="581"/>
      <c r="F9" s="581">
        <v>1</v>
      </c>
      <c r="G9" s="581">
        <v>1</v>
      </c>
      <c r="H9" s="581"/>
      <c r="I9" s="581"/>
      <c r="J9" s="581"/>
      <c r="K9" s="581"/>
      <c r="L9" s="581"/>
      <c r="M9" s="560"/>
    </row>
    <row r="10" spans="1:13" ht="15" customHeight="1">
      <c r="A10" s="784"/>
      <c r="B10" s="784"/>
      <c r="C10" s="784"/>
      <c r="D10" s="580">
        <v>1</v>
      </c>
      <c r="E10" s="581">
        <v>1</v>
      </c>
      <c r="F10" s="581"/>
      <c r="G10" s="581">
        <v>1</v>
      </c>
      <c r="H10" s="581"/>
      <c r="I10" s="581"/>
      <c r="J10" s="581">
        <v>1956</v>
      </c>
      <c r="K10" s="581"/>
      <c r="L10" s="581"/>
      <c r="M10" s="560"/>
    </row>
    <row r="11" spans="1:13" ht="15" customHeight="1">
      <c r="A11" s="784"/>
      <c r="B11" s="784"/>
      <c r="C11" s="784"/>
      <c r="D11" s="580">
        <v>1</v>
      </c>
      <c r="E11" s="581"/>
      <c r="F11" s="581">
        <v>1</v>
      </c>
      <c r="G11" s="581">
        <v>1</v>
      </c>
      <c r="H11" s="581"/>
      <c r="I11" s="581"/>
      <c r="J11" s="581">
        <v>1972</v>
      </c>
      <c r="K11" s="581"/>
      <c r="L11" s="581"/>
      <c r="M11" s="560"/>
    </row>
    <row r="12" spans="1:13" ht="15" customHeight="1">
      <c r="A12" s="784"/>
      <c r="B12" s="784"/>
      <c r="C12" s="784"/>
      <c r="D12" s="580">
        <v>1</v>
      </c>
      <c r="E12" s="581">
        <v>1</v>
      </c>
      <c r="F12" s="581"/>
      <c r="G12" s="581">
        <v>1</v>
      </c>
      <c r="H12" s="581"/>
      <c r="I12" s="581"/>
      <c r="J12" s="581">
        <v>1958</v>
      </c>
      <c r="K12" s="581"/>
      <c r="L12" s="581"/>
      <c r="M12" s="560"/>
    </row>
    <row r="13" spans="1:13" ht="15" customHeight="1">
      <c r="A13" s="784"/>
      <c r="B13" s="784"/>
      <c r="C13" s="784"/>
      <c r="D13" s="580">
        <v>1</v>
      </c>
      <c r="E13" s="581"/>
      <c r="F13" s="581">
        <v>1</v>
      </c>
      <c r="G13" s="581"/>
      <c r="H13" s="581">
        <v>1</v>
      </c>
      <c r="I13" s="581" t="s">
        <v>342</v>
      </c>
      <c r="J13" s="581">
        <v>1993</v>
      </c>
      <c r="K13" s="581"/>
      <c r="L13" s="581"/>
      <c r="M13" s="560"/>
    </row>
    <row r="14" spans="1:13" ht="15" customHeight="1">
      <c r="A14" s="784"/>
      <c r="B14" s="784"/>
      <c r="C14" s="784"/>
      <c r="D14" s="580">
        <v>1</v>
      </c>
      <c r="E14" s="581"/>
      <c r="F14" s="581">
        <v>1</v>
      </c>
      <c r="G14" s="581">
        <v>1</v>
      </c>
      <c r="H14" s="581"/>
      <c r="I14" s="581"/>
      <c r="J14" s="581">
        <v>1958</v>
      </c>
      <c r="K14" s="581"/>
      <c r="L14" s="581"/>
      <c r="M14" s="560"/>
    </row>
    <row r="15" spans="1:13" ht="15" customHeight="1">
      <c r="A15" s="784"/>
      <c r="B15" s="784"/>
      <c r="C15" s="784"/>
      <c r="D15" s="580">
        <v>1</v>
      </c>
      <c r="E15" s="581"/>
      <c r="F15" s="581">
        <v>1</v>
      </c>
      <c r="G15" s="581">
        <v>1</v>
      </c>
      <c r="H15" s="581"/>
      <c r="I15" s="581"/>
      <c r="J15" s="581">
        <v>1934</v>
      </c>
      <c r="K15" s="581"/>
      <c r="L15" s="581"/>
      <c r="M15" s="560"/>
    </row>
    <row r="16" spans="1:13" ht="15" customHeight="1">
      <c r="A16" s="784"/>
      <c r="B16" s="784"/>
      <c r="C16" s="784"/>
      <c r="D16" s="580">
        <v>1</v>
      </c>
      <c r="E16" s="581"/>
      <c r="F16" s="581">
        <v>1</v>
      </c>
      <c r="G16" s="581">
        <v>1</v>
      </c>
      <c r="H16" s="581"/>
      <c r="I16" s="581"/>
      <c r="J16" s="581"/>
      <c r="K16" s="581"/>
      <c r="L16" s="581"/>
      <c r="M16" s="560"/>
    </row>
    <row r="17" spans="1:13" ht="15" customHeight="1">
      <c r="A17" s="784"/>
      <c r="B17" s="784"/>
      <c r="C17" s="784"/>
      <c r="D17" s="580">
        <v>1</v>
      </c>
      <c r="E17" s="581">
        <v>1</v>
      </c>
      <c r="F17" s="581"/>
      <c r="G17" s="581">
        <v>1</v>
      </c>
      <c r="H17" s="581"/>
      <c r="I17" s="581"/>
      <c r="J17" s="581"/>
      <c r="K17" s="581"/>
      <c r="L17" s="581"/>
      <c r="M17" s="560"/>
    </row>
    <row r="18" spans="1:13" s="529" customFormat="1" ht="15" customHeight="1">
      <c r="A18" s="1016" t="s">
        <v>341</v>
      </c>
      <c r="B18" s="1017"/>
      <c r="C18" s="525"/>
      <c r="D18" s="526">
        <f>SUM(D6:D17)</f>
        <v>12</v>
      </c>
      <c r="E18" s="527">
        <f>SUM(E6:E17)</f>
        <v>4</v>
      </c>
      <c r="F18" s="527">
        <f>SUM(F6:F17)</f>
        <v>8</v>
      </c>
      <c r="G18" s="527">
        <f>SUM(G6:G17)</f>
        <v>10</v>
      </c>
      <c r="H18" s="527">
        <f>SUM(H6:H17)</f>
        <v>2</v>
      </c>
      <c r="I18" s="527"/>
      <c r="J18" s="527"/>
      <c r="K18" s="527">
        <v>9</v>
      </c>
      <c r="L18" s="527">
        <v>24</v>
      </c>
      <c r="M18" s="528">
        <v>1000</v>
      </c>
    </row>
    <row r="19" spans="1:13" ht="15" customHeight="1">
      <c r="A19" s="1015" t="s">
        <v>72</v>
      </c>
      <c r="B19" s="1015"/>
      <c r="C19" s="522"/>
      <c r="D19" s="530"/>
      <c r="E19" s="530"/>
      <c r="F19" s="530"/>
      <c r="G19" s="530"/>
      <c r="H19" s="530"/>
      <c r="I19" s="530"/>
      <c r="J19" s="530"/>
      <c r="K19" s="530"/>
      <c r="L19" s="530"/>
      <c r="M19" s="531"/>
    </row>
    <row r="20" spans="1:13" ht="15" customHeight="1">
      <c r="A20" s="532"/>
      <c r="B20" s="532"/>
      <c r="C20" s="532"/>
      <c r="D20" s="533"/>
      <c r="E20" s="533"/>
      <c r="F20" s="533"/>
      <c r="G20" s="533"/>
      <c r="H20" s="533"/>
      <c r="I20" s="530"/>
      <c r="J20" s="533"/>
      <c r="K20" s="534" t="s">
        <v>348</v>
      </c>
      <c r="L20" s="535" t="s">
        <v>349</v>
      </c>
      <c r="M20" s="536" t="s">
        <v>438</v>
      </c>
    </row>
    <row r="21" spans="1:13" ht="30" customHeight="1">
      <c r="A21" s="534" t="s">
        <v>332</v>
      </c>
      <c r="B21" s="534" t="s">
        <v>350</v>
      </c>
      <c r="C21" s="511" t="s">
        <v>213</v>
      </c>
      <c r="D21" s="534" t="s">
        <v>36</v>
      </c>
      <c r="E21" s="537" t="s">
        <v>73</v>
      </c>
      <c r="F21" s="537" t="s">
        <v>74</v>
      </c>
      <c r="G21" s="537" t="s">
        <v>37</v>
      </c>
      <c r="H21" s="537" t="s">
        <v>38</v>
      </c>
      <c r="I21" s="512" t="s">
        <v>15</v>
      </c>
      <c r="J21" s="537" t="s">
        <v>39</v>
      </c>
      <c r="K21" s="530">
        <v>5</v>
      </c>
      <c r="L21" s="530">
        <v>5</v>
      </c>
      <c r="M21" s="523"/>
    </row>
    <row r="22" spans="1:13" ht="15" customHeight="1">
      <c r="A22" s="785"/>
      <c r="B22" s="785"/>
      <c r="C22" s="785"/>
      <c r="D22" s="580">
        <v>1</v>
      </c>
      <c r="E22" s="575"/>
      <c r="F22" s="575">
        <v>1</v>
      </c>
      <c r="G22" s="575">
        <v>1</v>
      </c>
      <c r="H22" s="575"/>
      <c r="I22" s="575"/>
      <c r="J22" s="575">
        <v>1939</v>
      </c>
      <c r="K22" s="580"/>
      <c r="L22" s="580"/>
      <c r="M22" s="583"/>
    </row>
    <row r="23" spans="1:13" ht="15" customHeight="1">
      <c r="A23" s="785"/>
      <c r="B23" s="785"/>
      <c r="C23" s="785"/>
      <c r="D23" s="580">
        <v>1</v>
      </c>
      <c r="E23" s="575"/>
      <c r="F23" s="575">
        <v>1</v>
      </c>
      <c r="G23" s="575">
        <v>1</v>
      </c>
      <c r="H23" s="575"/>
      <c r="I23" s="575"/>
      <c r="J23" s="575">
        <v>1970</v>
      </c>
      <c r="K23" s="580"/>
      <c r="L23" s="580"/>
      <c r="M23" s="583"/>
    </row>
    <row r="24" spans="1:13" ht="15" customHeight="1">
      <c r="A24" s="785"/>
      <c r="B24" s="785"/>
      <c r="C24" s="785"/>
      <c r="D24" s="580">
        <v>1</v>
      </c>
      <c r="E24" s="575"/>
      <c r="F24" s="575">
        <v>1</v>
      </c>
      <c r="G24" s="575"/>
      <c r="H24" s="575">
        <v>1</v>
      </c>
      <c r="I24" s="575" t="s">
        <v>0</v>
      </c>
      <c r="J24" s="575">
        <v>1959</v>
      </c>
      <c r="K24" s="580"/>
      <c r="L24" s="580"/>
      <c r="M24" s="583"/>
    </row>
    <row r="25" spans="1:13" ht="15" customHeight="1">
      <c r="A25" s="785"/>
      <c r="B25" s="785"/>
      <c r="C25" s="785"/>
      <c r="D25" s="580">
        <v>1</v>
      </c>
      <c r="E25" s="575"/>
      <c r="F25" s="575">
        <v>1</v>
      </c>
      <c r="G25" s="575">
        <v>1</v>
      </c>
      <c r="H25" s="575"/>
      <c r="I25" s="575"/>
      <c r="J25" s="575">
        <v>1966</v>
      </c>
      <c r="K25" s="580"/>
      <c r="L25" s="580"/>
      <c r="M25" s="583"/>
    </row>
    <row r="26" spans="1:13" ht="15" customHeight="1">
      <c r="A26" s="785"/>
      <c r="B26" s="785"/>
      <c r="C26" s="785"/>
      <c r="D26" s="580">
        <v>1</v>
      </c>
      <c r="E26" s="575"/>
      <c r="F26" s="575">
        <v>1</v>
      </c>
      <c r="G26" s="575">
        <v>1</v>
      </c>
      <c r="H26" s="575"/>
      <c r="I26" s="575"/>
      <c r="J26" s="575">
        <v>1970</v>
      </c>
      <c r="K26" s="580"/>
      <c r="L26" s="580"/>
      <c r="M26" s="583"/>
    </row>
    <row r="27" spans="1:13" ht="15" customHeight="1">
      <c r="A27" s="1016" t="s">
        <v>328</v>
      </c>
      <c r="B27" s="1017"/>
      <c r="C27" s="525"/>
      <c r="D27" s="526">
        <f>SUM(D22:D26)</f>
        <v>5</v>
      </c>
      <c r="E27" s="527"/>
      <c r="F27" s="527">
        <f>SUM(F22:F26)</f>
        <v>5</v>
      </c>
      <c r="G27" s="527">
        <f>SUM(G22:G26)</f>
        <v>4</v>
      </c>
      <c r="H27" s="527">
        <f>SUM(H22:H26)</f>
        <v>1</v>
      </c>
      <c r="I27" s="527"/>
      <c r="J27" s="527"/>
      <c r="K27" s="527">
        <v>5</v>
      </c>
      <c r="L27" s="527">
        <v>5</v>
      </c>
      <c r="M27" s="528">
        <v>1000</v>
      </c>
    </row>
    <row r="28" spans="1:13" ht="15" customHeight="1">
      <c r="A28" s="1018" t="s">
        <v>227</v>
      </c>
      <c r="B28" s="1019"/>
      <c r="C28" s="538"/>
      <c r="D28" s="502">
        <v>17</v>
      </c>
      <c r="E28" s="112">
        <v>4</v>
      </c>
      <c r="F28" s="112">
        <v>13</v>
      </c>
      <c r="G28" s="112">
        <v>15</v>
      </c>
      <c r="H28" s="112">
        <v>3</v>
      </c>
      <c r="I28" s="501"/>
      <c r="J28" s="501"/>
      <c r="K28" s="502">
        <v>14</v>
      </c>
      <c r="L28" s="502">
        <v>29</v>
      </c>
      <c r="M28" s="539">
        <v>2000</v>
      </c>
    </row>
    <row r="29" ht="15" customHeight="1">
      <c r="C29" s="513"/>
    </row>
  </sheetData>
  <mergeCells count="7">
    <mergeCell ref="A19:B19"/>
    <mergeCell ref="A27:B27"/>
    <mergeCell ref="A28:B28"/>
    <mergeCell ref="A1:L1"/>
    <mergeCell ref="A2:M2"/>
    <mergeCell ref="A3:B3"/>
    <mergeCell ref="A18:B1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K239"/>
  <sheetViews>
    <sheetView workbookViewId="0" topLeftCell="A178">
      <selection activeCell="G6" sqref="G6"/>
    </sheetView>
  </sheetViews>
  <sheetFormatPr defaultColWidth="8.8515625" defaultRowHeight="12.75"/>
  <cols>
    <col min="1" max="1" width="52.8515625" style="510" customWidth="1"/>
    <col min="2" max="8" width="10.7109375" style="510" customWidth="1"/>
    <col min="9" max="9" width="13.421875" style="510" customWidth="1"/>
    <col min="10" max="10" width="9.28125" style="510" customWidth="1"/>
    <col min="11" max="12" width="8.8515625" style="510" customWidth="1"/>
    <col min="13" max="13" width="10.28125" style="510" customWidth="1"/>
    <col min="14" max="14" width="12.7109375" style="510" customWidth="1"/>
    <col min="15" max="16384" width="8.8515625" style="510" customWidth="1"/>
  </cols>
  <sheetData>
    <row r="1" spans="1:10" ht="30" customHeight="1">
      <c r="A1" s="995" t="s">
        <v>520</v>
      </c>
      <c r="B1" s="996"/>
      <c r="C1" s="997">
        <v>40071151</v>
      </c>
      <c r="D1" s="998"/>
      <c r="E1" s="914"/>
      <c r="F1" s="914"/>
      <c r="G1" s="914"/>
      <c r="H1" s="914"/>
      <c r="I1" s="915"/>
      <c r="J1" s="916"/>
    </row>
    <row r="2" spans="1:10" ht="69.75" customHeight="1">
      <c r="A2" s="1009" t="s">
        <v>521</v>
      </c>
      <c r="B2" s="999"/>
      <c r="C2" s="999"/>
      <c r="D2" s="1000"/>
      <c r="E2" s="920"/>
      <c r="F2" s="920"/>
      <c r="G2" s="920"/>
      <c r="H2" s="920"/>
      <c r="I2" s="920"/>
      <c r="J2" s="915"/>
    </row>
    <row r="3" spans="1:10" ht="24" customHeight="1">
      <c r="A3" s="1001"/>
      <c r="B3" s="1001"/>
      <c r="C3" s="1001"/>
      <c r="D3" s="1001"/>
      <c r="E3" s="1001"/>
      <c r="F3" s="1001"/>
      <c r="G3" s="1001"/>
      <c r="H3" s="1001"/>
      <c r="I3" s="1001"/>
      <c r="J3" s="921"/>
    </row>
    <row r="4" spans="1:10" ht="15" customHeight="1">
      <c r="A4" s="1002" t="s">
        <v>522</v>
      </c>
      <c r="B4" s="1003"/>
      <c r="C4" s="1003"/>
      <c r="D4" s="981"/>
      <c r="E4" s="922"/>
      <c r="F4" s="922"/>
      <c r="G4" s="911"/>
      <c r="H4" s="911"/>
      <c r="I4" s="911"/>
      <c r="J4" s="921"/>
    </row>
    <row r="5" spans="1:10" ht="30" customHeight="1">
      <c r="A5" s="923" t="s">
        <v>523</v>
      </c>
      <c r="B5" s="512" t="s">
        <v>524</v>
      </c>
      <c r="C5" s="512" t="s">
        <v>525</v>
      </c>
      <c r="D5" s="512" t="s">
        <v>526</v>
      </c>
      <c r="E5" s="911"/>
      <c r="F5" s="911"/>
      <c r="G5" s="911"/>
      <c r="H5" s="911"/>
      <c r="J5" s="921"/>
    </row>
    <row r="6" spans="1:9" ht="15" customHeight="1">
      <c r="A6" s="924" t="s">
        <v>527</v>
      </c>
      <c r="B6" s="925">
        <v>21</v>
      </c>
      <c r="C6" s="925">
        <v>54</v>
      </c>
      <c r="D6" s="925">
        <v>1</v>
      </c>
      <c r="E6" s="911"/>
      <c r="F6" s="911"/>
      <c r="G6" s="911"/>
      <c r="H6" s="911"/>
      <c r="I6" s="911"/>
    </row>
    <row r="7" spans="1:9" ht="15" customHeight="1">
      <c r="A7" s="924" t="s">
        <v>528</v>
      </c>
      <c r="B7" s="925">
        <v>8</v>
      </c>
      <c r="C7" s="925">
        <v>58</v>
      </c>
      <c r="D7" s="925">
        <v>1</v>
      </c>
      <c r="E7" s="911"/>
      <c r="F7" s="911"/>
      <c r="G7" s="911"/>
      <c r="H7" s="911"/>
      <c r="I7" s="911"/>
    </row>
    <row r="8" spans="1:9" ht="15" customHeight="1">
      <c r="A8" s="924" t="s">
        <v>529</v>
      </c>
      <c r="B8" s="925">
        <v>8</v>
      </c>
      <c r="C8" s="925">
        <v>57</v>
      </c>
      <c r="D8" s="925">
        <v>1</v>
      </c>
      <c r="E8" s="911"/>
      <c r="F8" s="911"/>
      <c r="G8" s="911"/>
      <c r="H8" s="911"/>
      <c r="I8" s="911"/>
    </row>
    <row r="9" spans="1:9" ht="15" customHeight="1">
      <c r="A9" s="924" t="s">
        <v>530</v>
      </c>
      <c r="B9" s="925">
        <v>1</v>
      </c>
      <c r="C9" s="925"/>
      <c r="D9" s="925"/>
      <c r="E9" s="911"/>
      <c r="F9" s="911"/>
      <c r="G9" s="911"/>
      <c r="H9" s="911"/>
      <c r="I9" s="911"/>
    </row>
    <row r="10" spans="1:9" ht="15" customHeight="1">
      <c r="A10" s="924" t="s">
        <v>531</v>
      </c>
      <c r="B10" s="925">
        <v>5</v>
      </c>
      <c r="C10" s="925">
        <v>66</v>
      </c>
      <c r="D10" s="925">
        <v>6</v>
      </c>
      <c r="E10" s="911"/>
      <c r="F10" s="911"/>
      <c r="G10" s="911"/>
      <c r="H10" s="911"/>
      <c r="I10" s="911"/>
    </row>
    <row r="11" spans="1:9" ht="15" customHeight="1">
      <c r="A11" s="924" t="s">
        <v>532</v>
      </c>
      <c r="B11" s="925"/>
      <c r="C11" s="925">
        <v>1</v>
      </c>
      <c r="D11" s="925"/>
      <c r="E11" s="911"/>
      <c r="F11" s="911"/>
      <c r="G11" s="911"/>
      <c r="H11" s="911"/>
      <c r="I11" s="911"/>
    </row>
    <row r="12" spans="1:9" ht="15" customHeight="1">
      <c r="A12" s="924" t="s">
        <v>533</v>
      </c>
      <c r="B12" s="925">
        <v>10</v>
      </c>
      <c r="C12" s="925">
        <v>24</v>
      </c>
      <c r="D12" s="925"/>
      <c r="E12" s="911"/>
      <c r="F12" s="911"/>
      <c r="G12" s="911"/>
      <c r="H12" s="911"/>
      <c r="I12" s="911"/>
    </row>
    <row r="13" spans="1:9" ht="15" customHeight="1">
      <c r="A13" s="924" t="s">
        <v>534</v>
      </c>
      <c r="B13" s="925">
        <v>4</v>
      </c>
      <c r="C13" s="925">
        <v>19</v>
      </c>
      <c r="D13" s="925">
        <v>5</v>
      </c>
      <c r="E13" s="911"/>
      <c r="F13" s="911"/>
      <c r="G13" s="911"/>
      <c r="H13" s="911"/>
      <c r="I13" s="911"/>
    </row>
    <row r="14" spans="1:9" ht="15" customHeight="1">
      <c r="A14" s="924" t="s">
        <v>535</v>
      </c>
      <c r="B14" s="925">
        <v>16</v>
      </c>
      <c r="C14" s="925">
        <v>26</v>
      </c>
      <c r="D14" s="925">
        <v>2</v>
      </c>
      <c r="E14" s="911"/>
      <c r="F14" s="911"/>
      <c r="G14" s="911"/>
      <c r="H14" s="911"/>
      <c r="I14" s="911"/>
    </row>
    <row r="15" spans="1:9" ht="15" customHeight="1">
      <c r="A15" s="924" t="s">
        <v>536</v>
      </c>
      <c r="B15" s="925">
        <v>6</v>
      </c>
      <c r="C15" s="925">
        <v>26</v>
      </c>
      <c r="D15" s="925"/>
      <c r="E15" s="911"/>
      <c r="F15" s="911"/>
      <c r="G15" s="911"/>
      <c r="H15" s="911"/>
      <c r="I15" s="911"/>
    </row>
    <row r="16" spans="1:9" ht="15" customHeight="1">
      <c r="A16" s="924" t="s">
        <v>537</v>
      </c>
      <c r="B16" s="925">
        <v>1</v>
      </c>
      <c r="C16" s="925">
        <v>3</v>
      </c>
      <c r="D16" s="925"/>
      <c r="E16" s="911"/>
      <c r="F16" s="911"/>
      <c r="G16" s="911"/>
      <c r="H16" s="911"/>
      <c r="I16" s="911"/>
    </row>
    <row r="17" spans="1:9" ht="15" customHeight="1">
      <c r="A17" s="924" t="s">
        <v>538</v>
      </c>
      <c r="B17" s="925">
        <v>6</v>
      </c>
      <c r="C17" s="925">
        <v>7</v>
      </c>
      <c r="D17" s="925"/>
      <c r="E17" s="911"/>
      <c r="F17" s="911"/>
      <c r="G17" s="911"/>
      <c r="H17" s="911"/>
      <c r="I17" s="911"/>
    </row>
    <row r="18" spans="1:9" ht="15" customHeight="1">
      <c r="A18" s="926" t="s">
        <v>539</v>
      </c>
      <c r="B18" s="927">
        <f>SUM(B6:B17)</f>
        <v>86</v>
      </c>
      <c r="C18" s="927">
        <f>SUM(C6:C17)</f>
        <v>341</v>
      </c>
      <c r="D18" s="927">
        <f>SUM(D6:D16)</f>
        <v>16</v>
      </c>
      <c r="E18" s="911"/>
      <c r="F18" s="911"/>
      <c r="G18" s="911"/>
      <c r="H18" s="911"/>
      <c r="I18" s="911"/>
    </row>
    <row r="19" spans="1:9" ht="30" customHeight="1">
      <c r="A19" s="923" t="s">
        <v>540</v>
      </c>
      <c r="B19" s="512" t="s">
        <v>524</v>
      </c>
      <c r="C19" s="512" t="s">
        <v>525</v>
      </c>
      <c r="D19" s="512" t="s">
        <v>526</v>
      </c>
      <c r="E19" s="911"/>
      <c r="F19" s="911"/>
      <c r="G19" s="911"/>
      <c r="H19" s="911"/>
      <c r="I19" s="911"/>
    </row>
    <row r="20" spans="1:9" ht="15" customHeight="1">
      <c r="A20" s="924" t="s">
        <v>527</v>
      </c>
      <c r="B20" s="925">
        <v>10</v>
      </c>
      <c r="C20" s="925">
        <v>72</v>
      </c>
      <c r="D20" s="925">
        <v>1</v>
      </c>
      <c r="E20" s="911"/>
      <c r="F20" s="911"/>
      <c r="G20" s="911"/>
      <c r="H20" s="911"/>
      <c r="I20" s="911"/>
    </row>
    <row r="21" spans="1:9" ht="16.5" customHeight="1">
      <c r="A21" s="924" t="s">
        <v>528</v>
      </c>
      <c r="B21" s="925">
        <v>5</v>
      </c>
      <c r="C21" s="925">
        <v>34</v>
      </c>
      <c r="D21" s="925"/>
      <c r="E21" s="911"/>
      <c r="F21" s="911"/>
      <c r="G21" s="911"/>
      <c r="H21" s="911"/>
      <c r="I21" s="911"/>
    </row>
    <row r="22" spans="1:9" ht="15" customHeight="1">
      <c r="A22" s="924" t="s">
        <v>529</v>
      </c>
      <c r="B22" s="925">
        <v>1</v>
      </c>
      <c r="C22" s="925">
        <v>52</v>
      </c>
      <c r="D22" s="925"/>
      <c r="E22" s="911"/>
      <c r="F22" s="911"/>
      <c r="G22" s="911"/>
      <c r="H22" s="911"/>
      <c r="I22" s="911"/>
    </row>
    <row r="23" spans="1:9" ht="15" customHeight="1">
      <c r="A23" s="924" t="s">
        <v>530</v>
      </c>
      <c r="B23" s="925"/>
      <c r="C23" s="925"/>
      <c r="D23" s="925"/>
      <c r="E23" s="911"/>
      <c r="F23" s="911"/>
      <c r="G23" s="911"/>
      <c r="H23" s="911"/>
      <c r="I23" s="911"/>
    </row>
    <row r="24" spans="1:9" ht="15" customHeight="1">
      <c r="A24" s="924" t="s">
        <v>531</v>
      </c>
      <c r="B24" s="925">
        <v>1</v>
      </c>
      <c r="C24" s="925">
        <v>20</v>
      </c>
      <c r="D24" s="925">
        <v>2</v>
      </c>
      <c r="E24" s="911"/>
      <c r="F24" s="911"/>
      <c r="G24" s="911"/>
      <c r="H24" s="911"/>
      <c r="I24" s="911"/>
    </row>
    <row r="25" spans="1:9" ht="15" customHeight="1">
      <c r="A25" s="924" t="s">
        <v>533</v>
      </c>
      <c r="B25" s="925">
        <v>5</v>
      </c>
      <c r="C25" s="925">
        <v>19</v>
      </c>
      <c r="D25" s="925"/>
      <c r="E25" s="911"/>
      <c r="F25" s="911"/>
      <c r="G25" s="911"/>
      <c r="H25" s="911"/>
      <c r="I25" s="911"/>
    </row>
    <row r="26" spans="1:9" ht="15" customHeight="1">
      <c r="A26" s="928" t="s">
        <v>541</v>
      </c>
      <c r="B26" s="925">
        <v>2</v>
      </c>
      <c r="C26" s="925">
        <v>1</v>
      </c>
      <c r="D26" s="925"/>
      <c r="E26" s="911"/>
      <c r="F26" s="911"/>
      <c r="G26" s="911"/>
      <c r="H26" s="911"/>
      <c r="I26" s="911"/>
    </row>
    <row r="27" spans="1:9" ht="15" customHeight="1">
      <c r="A27" s="928" t="s">
        <v>542</v>
      </c>
      <c r="B27" s="925">
        <v>4</v>
      </c>
      <c r="C27" s="925">
        <v>10</v>
      </c>
      <c r="D27" s="925"/>
      <c r="E27" s="911"/>
      <c r="F27" s="911"/>
      <c r="G27" s="911"/>
      <c r="H27" s="911"/>
      <c r="I27" s="911"/>
    </row>
    <row r="28" spans="1:9" ht="15" customHeight="1">
      <c r="A28" s="924" t="s">
        <v>534</v>
      </c>
      <c r="B28" s="925"/>
      <c r="C28" s="925">
        <v>6</v>
      </c>
      <c r="D28" s="925"/>
      <c r="E28" s="911"/>
      <c r="F28" s="911"/>
      <c r="G28" s="911"/>
      <c r="H28" s="911"/>
      <c r="I28" s="911"/>
    </row>
    <row r="29" spans="1:9" ht="15" customHeight="1">
      <c r="A29" s="924" t="s">
        <v>543</v>
      </c>
      <c r="B29" s="925">
        <v>5</v>
      </c>
      <c r="C29" s="925">
        <v>14</v>
      </c>
      <c r="D29" s="925">
        <v>6</v>
      </c>
      <c r="E29" s="911"/>
      <c r="F29" s="911"/>
      <c r="G29" s="911"/>
      <c r="H29" s="911"/>
      <c r="I29" s="911"/>
    </row>
    <row r="30" spans="1:9" ht="15" customHeight="1">
      <c r="A30" s="924" t="s">
        <v>536</v>
      </c>
      <c r="B30" s="925"/>
      <c r="C30" s="925">
        <v>13</v>
      </c>
      <c r="D30" s="925"/>
      <c r="E30" s="911"/>
      <c r="F30" s="911"/>
      <c r="G30" s="911"/>
      <c r="H30" s="911"/>
      <c r="I30" s="911"/>
    </row>
    <row r="31" spans="1:9" ht="15" customHeight="1">
      <c r="A31" s="924" t="s">
        <v>537</v>
      </c>
      <c r="B31" s="925"/>
      <c r="C31" s="925">
        <v>2</v>
      </c>
      <c r="D31" s="925">
        <v>1</v>
      </c>
      <c r="E31" s="911"/>
      <c r="F31" s="911"/>
      <c r="G31" s="911"/>
      <c r="H31" s="911"/>
      <c r="I31" s="911"/>
    </row>
    <row r="32" spans="1:9" ht="15" customHeight="1">
      <c r="A32" s="924" t="s">
        <v>544</v>
      </c>
      <c r="B32" s="925"/>
      <c r="C32" s="925"/>
      <c r="D32" s="925"/>
      <c r="E32" s="911"/>
      <c r="F32" s="911"/>
      <c r="G32" s="911"/>
      <c r="H32" s="911"/>
      <c r="I32" s="911"/>
    </row>
    <row r="33" spans="1:9" ht="15" customHeight="1">
      <c r="A33" s="924" t="s">
        <v>538</v>
      </c>
      <c r="B33" s="925">
        <v>5</v>
      </c>
      <c r="C33" s="925">
        <v>3</v>
      </c>
      <c r="D33" s="925"/>
      <c r="E33" s="911"/>
      <c r="F33" s="911"/>
      <c r="G33" s="911"/>
      <c r="H33" s="911"/>
      <c r="I33" s="911"/>
    </row>
    <row r="34" spans="1:9" ht="15" customHeight="1">
      <c r="A34" s="926" t="s">
        <v>545</v>
      </c>
      <c r="B34" s="927">
        <f>SUM(B20:B33)</f>
        <v>38</v>
      </c>
      <c r="C34" s="927">
        <f>SUM(C20:C33)</f>
        <v>246</v>
      </c>
      <c r="D34" s="927">
        <f>SUM(D20:D33)</f>
        <v>10</v>
      </c>
      <c r="E34" s="911"/>
      <c r="F34" s="911"/>
      <c r="G34" s="911"/>
      <c r="H34" s="911"/>
      <c r="I34" s="911"/>
    </row>
    <row r="35" spans="1:9" ht="15" customHeight="1">
      <c r="A35" s="919" t="s">
        <v>227</v>
      </c>
      <c r="B35" s="929">
        <f>SUM(B18+B34)</f>
        <v>124</v>
      </c>
      <c r="C35" s="929">
        <f>SUM(C18,C34)</f>
        <v>587</v>
      </c>
      <c r="D35" s="929">
        <f>SUM(D18,D34)</f>
        <v>26</v>
      </c>
      <c r="E35" s="918"/>
      <c r="F35" s="918"/>
      <c r="G35" s="911"/>
      <c r="H35" s="911"/>
      <c r="I35" s="911"/>
    </row>
    <row r="36" spans="1:9" ht="15" customHeight="1">
      <c r="A36" s="930"/>
      <c r="B36" s="918"/>
      <c r="C36" s="918"/>
      <c r="D36" s="918"/>
      <c r="E36" s="918"/>
      <c r="F36" s="918"/>
      <c r="G36" s="911"/>
      <c r="H36" s="911"/>
      <c r="I36" s="911"/>
    </row>
    <row r="37" spans="1:9" ht="18" customHeight="1">
      <c r="A37" s="982" t="s">
        <v>546</v>
      </c>
      <c r="B37" s="982"/>
      <c r="C37" s="982"/>
      <c r="D37" s="982"/>
      <c r="E37" s="982"/>
      <c r="F37" s="982"/>
      <c r="G37" s="982"/>
      <c r="H37" s="911"/>
      <c r="I37" s="911"/>
    </row>
    <row r="38" spans="1:9" ht="17.25" customHeight="1">
      <c r="A38" s="983" t="s">
        <v>547</v>
      </c>
      <c r="B38" s="983"/>
      <c r="C38" s="983"/>
      <c r="D38" s="983"/>
      <c r="E38" s="983"/>
      <c r="F38" s="983"/>
      <c r="G38" s="983"/>
      <c r="H38" s="913"/>
      <c r="I38" s="520"/>
    </row>
    <row r="39" spans="1:9" ht="15" customHeight="1">
      <c r="A39" s="931" t="s">
        <v>56</v>
      </c>
      <c r="B39" s="931" t="s">
        <v>36</v>
      </c>
      <c r="C39" s="931" t="s">
        <v>73</v>
      </c>
      <c r="D39" s="530" t="s">
        <v>74</v>
      </c>
      <c r="E39" s="931" t="s">
        <v>548</v>
      </c>
      <c r="F39" s="931" t="s">
        <v>38</v>
      </c>
      <c r="G39" s="530" t="s">
        <v>436</v>
      </c>
      <c r="H39" s="913"/>
      <c r="I39" s="520"/>
    </row>
    <row r="40" spans="1:9" ht="15" customHeight="1">
      <c r="A40" s="932" t="s">
        <v>66</v>
      </c>
      <c r="B40" s="584">
        <v>2</v>
      </c>
      <c r="C40" s="584">
        <v>0</v>
      </c>
      <c r="D40" s="584">
        <v>2</v>
      </c>
      <c r="E40" s="584">
        <v>2</v>
      </c>
      <c r="F40" s="584">
        <v>0</v>
      </c>
      <c r="G40" s="584">
        <v>13</v>
      </c>
      <c r="H40" s="933"/>
      <c r="I40" s="520"/>
    </row>
    <row r="41" spans="1:9" ht="15" customHeight="1">
      <c r="A41" s="932" t="s">
        <v>64</v>
      </c>
      <c r="B41" s="584">
        <v>85</v>
      </c>
      <c r="C41" s="584">
        <v>40</v>
      </c>
      <c r="D41" s="584">
        <v>45</v>
      </c>
      <c r="E41" s="584">
        <v>84</v>
      </c>
      <c r="F41" s="584">
        <v>1</v>
      </c>
      <c r="G41" s="584">
        <v>114</v>
      </c>
      <c r="H41" s="913"/>
      <c r="I41" s="520"/>
    </row>
    <row r="42" spans="1:9" ht="15" customHeight="1">
      <c r="A42" s="932" t="s">
        <v>67</v>
      </c>
      <c r="B42" s="584">
        <v>0</v>
      </c>
      <c r="C42" s="584">
        <v>0</v>
      </c>
      <c r="D42" s="584">
        <v>0</v>
      </c>
      <c r="E42" s="584">
        <v>0</v>
      </c>
      <c r="F42" s="584">
        <v>0</v>
      </c>
      <c r="G42" s="584">
        <v>0</v>
      </c>
      <c r="H42" s="913"/>
      <c r="I42" s="520"/>
    </row>
    <row r="43" spans="1:9" ht="15" customHeight="1">
      <c r="A43" s="932" t="s">
        <v>68</v>
      </c>
      <c r="B43" s="584">
        <v>2</v>
      </c>
      <c r="C43" s="584">
        <v>1</v>
      </c>
      <c r="D43" s="584">
        <v>1</v>
      </c>
      <c r="E43" s="584">
        <v>2</v>
      </c>
      <c r="F43" s="584">
        <v>0</v>
      </c>
      <c r="G43" s="584">
        <v>1</v>
      </c>
      <c r="H43" s="913"/>
      <c r="I43" s="520"/>
    </row>
    <row r="44" spans="1:9" ht="15" customHeight="1">
      <c r="A44" s="932" t="s">
        <v>65</v>
      </c>
      <c r="B44" s="584">
        <v>11</v>
      </c>
      <c r="C44" s="584">
        <v>6</v>
      </c>
      <c r="D44" s="584">
        <v>5</v>
      </c>
      <c r="E44" s="584">
        <v>11</v>
      </c>
      <c r="F44" s="584">
        <v>0</v>
      </c>
      <c r="G44" s="584">
        <v>25</v>
      </c>
      <c r="H44" s="913"/>
      <c r="I44" s="520"/>
    </row>
    <row r="45" spans="1:9" ht="15" customHeight="1">
      <c r="A45" s="932" t="s">
        <v>69</v>
      </c>
      <c r="B45" s="584">
        <v>4</v>
      </c>
      <c r="C45" s="584">
        <v>2</v>
      </c>
      <c r="D45" s="584">
        <v>2</v>
      </c>
      <c r="E45" s="584">
        <v>4</v>
      </c>
      <c r="F45" s="584">
        <v>0</v>
      </c>
      <c r="G45" s="584">
        <v>9</v>
      </c>
      <c r="H45" s="913"/>
      <c r="I45" s="520"/>
    </row>
    <row r="46" spans="1:9" ht="15" customHeight="1">
      <c r="A46" s="932" t="s">
        <v>70</v>
      </c>
      <c r="B46" s="584">
        <v>16</v>
      </c>
      <c r="C46" s="584">
        <v>8</v>
      </c>
      <c r="D46" s="584">
        <v>8</v>
      </c>
      <c r="E46" s="584">
        <v>16</v>
      </c>
      <c r="F46" s="584">
        <v>0</v>
      </c>
      <c r="G46" s="584">
        <v>33</v>
      </c>
      <c r="H46" s="913"/>
      <c r="I46" s="520"/>
    </row>
    <row r="47" spans="1:9" ht="15" customHeight="1">
      <c r="A47" s="932" t="s">
        <v>71</v>
      </c>
      <c r="B47" s="584">
        <v>0</v>
      </c>
      <c r="C47" s="584">
        <v>0</v>
      </c>
      <c r="D47" s="584">
        <v>0</v>
      </c>
      <c r="E47" s="584">
        <v>0</v>
      </c>
      <c r="F47" s="584">
        <v>0</v>
      </c>
      <c r="G47" s="584">
        <v>0</v>
      </c>
      <c r="H47" s="913"/>
      <c r="I47" s="520"/>
    </row>
    <row r="48" spans="1:9" ht="15" customHeight="1">
      <c r="A48" s="932" t="s">
        <v>72</v>
      </c>
      <c r="B48" s="584">
        <v>13</v>
      </c>
      <c r="C48" s="584">
        <v>7</v>
      </c>
      <c r="D48" s="584">
        <v>6</v>
      </c>
      <c r="E48" s="584">
        <v>13</v>
      </c>
      <c r="F48" s="584">
        <v>0</v>
      </c>
      <c r="G48" s="584">
        <v>17</v>
      </c>
      <c r="H48" s="913"/>
      <c r="I48" s="520"/>
    </row>
    <row r="49" spans="1:9" ht="15" customHeight="1">
      <c r="A49" s="919" t="s">
        <v>549</v>
      </c>
      <c r="B49" s="502">
        <f aca="true" t="shared" si="0" ref="B49:G49">SUM(B40:B48)</f>
        <v>133</v>
      </c>
      <c r="C49" s="502">
        <f t="shared" si="0"/>
        <v>64</v>
      </c>
      <c r="D49" s="502">
        <f t="shared" si="0"/>
        <v>69</v>
      </c>
      <c r="E49" s="502">
        <f t="shared" si="0"/>
        <v>132</v>
      </c>
      <c r="F49" s="502">
        <f t="shared" si="0"/>
        <v>1</v>
      </c>
      <c r="G49" s="502">
        <f t="shared" si="0"/>
        <v>212</v>
      </c>
      <c r="H49" s="913"/>
      <c r="I49" s="520"/>
    </row>
    <row r="50" spans="1:9" ht="15" customHeight="1">
      <c r="A50" s="934"/>
      <c r="B50" s="913"/>
      <c r="C50" s="913"/>
      <c r="D50" s="913"/>
      <c r="E50" s="913"/>
      <c r="F50" s="913"/>
      <c r="G50" s="913"/>
      <c r="H50" s="913"/>
      <c r="I50" s="935"/>
    </row>
    <row r="51" spans="1:9" ht="15" customHeight="1">
      <c r="A51" s="984" t="s">
        <v>550</v>
      </c>
      <c r="B51" s="984"/>
      <c r="C51" s="984"/>
      <c r="D51" s="984"/>
      <c r="E51" s="984"/>
      <c r="F51" s="984"/>
      <c r="G51" s="984"/>
      <c r="H51" s="913"/>
      <c r="I51" s="520"/>
    </row>
    <row r="52" spans="1:9" ht="17.25" customHeight="1">
      <c r="A52" s="917" t="s">
        <v>551</v>
      </c>
      <c r="B52" s="917"/>
      <c r="C52" s="917"/>
      <c r="D52" s="917"/>
      <c r="E52" s="917"/>
      <c r="F52" s="917"/>
      <c r="G52" s="917"/>
      <c r="H52" s="913"/>
      <c r="I52" s="520"/>
    </row>
    <row r="53" spans="1:9" ht="15" customHeight="1">
      <c r="A53" s="931" t="s">
        <v>56</v>
      </c>
      <c r="B53" s="931" t="s">
        <v>36</v>
      </c>
      <c r="C53" s="931" t="s">
        <v>73</v>
      </c>
      <c r="D53" s="530" t="s">
        <v>74</v>
      </c>
      <c r="E53" s="931" t="s">
        <v>548</v>
      </c>
      <c r="F53" s="931" t="s">
        <v>38</v>
      </c>
      <c r="G53" s="530" t="s">
        <v>436</v>
      </c>
      <c r="H53" s="913"/>
      <c r="I53" s="520"/>
    </row>
    <row r="54" spans="1:9" ht="15" customHeight="1">
      <c r="A54" s="932" t="s">
        <v>66</v>
      </c>
      <c r="B54" s="584">
        <v>0</v>
      </c>
      <c r="C54" s="584">
        <v>0</v>
      </c>
      <c r="D54" s="584">
        <v>0</v>
      </c>
      <c r="E54" s="584">
        <v>0</v>
      </c>
      <c r="F54" s="584">
        <v>0</v>
      </c>
      <c r="G54" s="584">
        <v>0</v>
      </c>
      <c r="H54" s="913"/>
      <c r="I54" s="520"/>
    </row>
    <row r="55" spans="1:9" ht="15" customHeight="1">
      <c r="A55" s="932" t="s">
        <v>64</v>
      </c>
      <c r="B55" s="584">
        <v>15</v>
      </c>
      <c r="C55" s="584">
        <v>2</v>
      </c>
      <c r="D55" s="584">
        <v>13</v>
      </c>
      <c r="E55" s="584">
        <v>10</v>
      </c>
      <c r="F55" s="584">
        <v>5</v>
      </c>
      <c r="G55" s="584">
        <v>15</v>
      </c>
      <c r="H55" s="913"/>
      <c r="I55" s="520"/>
    </row>
    <row r="56" spans="1:9" ht="15" customHeight="1">
      <c r="A56" s="932" t="s">
        <v>67</v>
      </c>
      <c r="B56" s="584">
        <v>0</v>
      </c>
      <c r="C56" s="584">
        <v>0</v>
      </c>
      <c r="D56" s="584">
        <v>0</v>
      </c>
      <c r="E56" s="584">
        <v>0</v>
      </c>
      <c r="F56" s="584">
        <v>0</v>
      </c>
      <c r="G56" s="584">
        <v>0</v>
      </c>
      <c r="H56" s="913"/>
      <c r="I56" s="520"/>
    </row>
    <row r="57" spans="1:9" ht="15" customHeight="1">
      <c r="A57" s="932" t="s">
        <v>68</v>
      </c>
      <c r="B57" s="584">
        <v>0</v>
      </c>
      <c r="C57" s="584">
        <v>0</v>
      </c>
      <c r="D57" s="584">
        <v>0</v>
      </c>
      <c r="E57" s="584">
        <v>0</v>
      </c>
      <c r="F57" s="584">
        <v>0</v>
      </c>
      <c r="G57" s="584">
        <v>0</v>
      </c>
      <c r="H57" s="913"/>
      <c r="I57" s="520"/>
    </row>
    <row r="58" spans="1:9" ht="15" customHeight="1">
      <c r="A58" s="932" t="s">
        <v>65</v>
      </c>
      <c r="B58" s="584">
        <v>2</v>
      </c>
      <c r="C58" s="584">
        <v>1</v>
      </c>
      <c r="D58" s="584">
        <v>1</v>
      </c>
      <c r="E58" s="584">
        <v>1</v>
      </c>
      <c r="F58" s="584">
        <v>1</v>
      </c>
      <c r="G58" s="584">
        <v>2</v>
      </c>
      <c r="H58" s="913"/>
      <c r="I58" s="520"/>
    </row>
    <row r="59" spans="1:9" ht="15" customHeight="1">
      <c r="A59" s="932" t="s">
        <v>69</v>
      </c>
      <c r="B59" s="584">
        <v>0</v>
      </c>
      <c r="C59" s="584">
        <v>0</v>
      </c>
      <c r="D59" s="584">
        <v>0</v>
      </c>
      <c r="E59" s="584">
        <v>0</v>
      </c>
      <c r="F59" s="584">
        <v>0</v>
      </c>
      <c r="G59" s="584">
        <v>0</v>
      </c>
      <c r="H59" s="913"/>
      <c r="I59" s="520"/>
    </row>
    <row r="60" spans="1:9" ht="15" customHeight="1">
      <c r="A60" s="932" t="s">
        <v>70</v>
      </c>
      <c r="B60" s="584">
        <v>0</v>
      </c>
      <c r="C60" s="584">
        <v>0</v>
      </c>
      <c r="D60" s="584">
        <v>0</v>
      </c>
      <c r="E60" s="584">
        <v>0</v>
      </c>
      <c r="F60" s="584">
        <v>0</v>
      </c>
      <c r="G60" s="584">
        <v>0</v>
      </c>
      <c r="H60" s="913"/>
      <c r="I60" s="520"/>
    </row>
    <row r="61" spans="1:9" ht="15" customHeight="1">
      <c r="A61" s="932" t="s">
        <v>71</v>
      </c>
      <c r="B61" s="584">
        <v>0</v>
      </c>
      <c r="C61" s="584">
        <v>0</v>
      </c>
      <c r="D61" s="584">
        <v>0</v>
      </c>
      <c r="E61" s="584">
        <v>0</v>
      </c>
      <c r="F61" s="584">
        <v>0</v>
      </c>
      <c r="G61" s="584">
        <v>0</v>
      </c>
      <c r="H61" s="913"/>
      <c r="I61" s="520"/>
    </row>
    <row r="62" spans="1:9" ht="15" customHeight="1">
      <c r="A62" s="932" t="s">
        <v>72</v>
      </c>
      <c r="B62" s="584">
        <v>2</v>
      </c>
      <c r="C62" s="584">
        <v>2</v>
      </c>
      <c r="D62" s="584">
        <v>0</v>
      </c>
      <c r="E62" s="584">
        <v>2</v>
      </c>
      <c r="F62" s="584">
        <v>0</v>
      </c>
      <c r="G62" s="584">
        <v>2</v>
      </c>
      <c r="H62" s="913"/>
      <c r="I62" s="520"/>
    </row>
    <row r="63" spans="1:9" ht="15" customHeight="1">
      <c r="A63" s="936" t="s">
        <v>549</v>
      </c>
      <c r="B63" s="502">
        <f aca="true" t="shared" si="1" ref="B63:G63">SUM(B55:B62)</f>
        <v>19</v>
      </c>
      <c r="C63" s="502">
        <f t="shared" si="1"/>
        <v>5</v>
      </c>
      <c r="D63" s="502">
        <f t="shared" si="1"/>
        <v>14</v>
      </c>
      <c r="E63" s="502">
        <f t="shared" si="1"/>
        <v>13</v>
      </c>
      <c r="F63" s="502">
        <f t="shared" si="1"/>
        <v>6</v>
      </c>
      <c r="G63" s="502">
        <f t="shared" si="1"/>
        <v>19</v>
      </c>
      <c r="H63" s="913"/>
      <c r="I63" s="520"/>
    </row>
    <row r="64" spans="1:9" ht="15" customHeight="1">
      <c r="A64" s="937"/>
      <c r="B64" s="913"/>
      <c r="C64" s="913"/>
      <c r="D64" s="913"/>
      <c r="E64" s="913"/>
      <c r="F64" s="913"/>
      <c r="G64" s="913"/>
      <c r="H64" s="913"/>
      <c r="I64" s="520"/>
    </row>
    <row r="65" spans="1:9" ht="15" customHeight="1">
      <c r="A65" s="984" t="s">
        <v>552</v>
      </c>
      <c r="B65" s="984"/>
      <c r="C65" s="984"/>
      <c r="D65" s="984"/>
      <c r="E65" s="984"/>
      <c r="F65" s="984"/>
      <c r="G65" s="984"/>
      <c r="H65" s="913"/>
      <c r="I65" s="938"/>
    </row>
    <row r="66" spans="1:9" ht="15" customHeight="1">
      <c r="A66" s="917" t="s">
        <v>551</v>
      </c>
      <c r="B66" s="917"/>
      <c r="C66" s="917"/>
      <c r="D66" s="917"/>
      <c r="E66" s="917"/>
      <c r="F66" s="917"/>
      <c r="G66" s="917"/>
      <c r="H66" s="913"/>
      <c r="I66" s="938"/>
    </row>
    <row r="67" spans="1:9" ht="15" customHeight="1">
      <c r="A67" s="931" t="s">
        <v>56</v>
      </c>
      <c r="B67" s="931" t="s">
        <v>36</v>
      </c>
      <c r="C67" s="931" t="s">
        <v>73</v>
      </c>
      <c r="D67" s="530" t="s">
        <v>74</v>
      </c>
      <c r="E67" s="931" t="s">
        <v>548</v>
      </c>
      <c r="F67" s="931" t="s">
        <v>38</v>
      </c>
      <c r="G67" s="530" t="s">
        <v>436</v>
      </c>
      <c r="H67" s="913"/>
      <c r="I67" s="520"/>
    </row>
    <row r="68" spans="1:9" ht="15" customHeight="1">
      <c r="A68" s="932" t="s">
        <v>66</v>
      </c>
      <c r="B68" s="584">
        <v>0</v>
      </c>
      <c r="C68" s="584">
        <v>0</v>
      </c>
      <c r="D68" s="584">
        <v>0</v>
      </c>
      <c r="E68" s="584">
        <v>0</v>
      </c>
      <c r="F68" s="584">
        <v>0</v>
      </c>
      <c r="G68" s="584">
        <v>0</v>
      </c>
      <c r="H68" s="913"/>
      <c r="I68" s="520"/>
    </row>
    <row r="69" spans="1:9" ht="15" customHeight="1">
      <c r="A69" s="932" t="s">
        <v>64</v>
      </c>
      <c r="B69" s="584">
        <v>3</v>
      </c>
      <c r="C69" s="584">
        <v>0</v>
      </c>
      <c r="D69" s="584">
        <v>3</v>
      </c>
      <c r="E69" s="584">
        <v>3</v>
      </c>
      <c r="F69" s="584">
        <v>0</v>
      </c>
      <c r="G69" s="584">
        <v>3</v>
      </c>
      <c r="H69" s="913"/>
      <c r="I69" s="520"/>
    </row>
    <row r="70" spans="1:9" ht="15" customHeight="1">
      <c r="A70" s="932" t="s">
        <v>67</v>
      </c>
      <c r="B70" s="584">
        <v>0</v>
      </c>
      <c r="C70" s="584">
        <v>0</v>
      </c>
      <c r="D70" s="584">
        <v>0</v>
      </c>
      <c r="E70" s="584">
        <v>0</v>
      </c>
      <c r="F70" s="584">
        <v>0</v>
      </c>
      <c r="G70" s="584">
        <v>0</v>
      </c>
      <c r="H70" s="913"/>
      <c r="I70" s="520"/>
    </row>
    <row r="71" spans="1:9" ht="15" customHeight="1">
      <c r="A71" s="932" t="s">
        <v>68</v>
      </c>
      <c r="B71" s="584">
        <v>0</v>
      </c>
      <c r="C71" s="584">
        <v>0</v>
      </c>
      <c r="D71" s="584">
        <v>0</v>
      </c>
      <c r="E71" s="584">
        <v>0</v>
      </c>
      <c r="F71" s="584">
        <v>0</v>
      </c>
      <c r="G71" s="584">
        <v>0</v>
      </c>
      <c r="H71" s="913"/>
      <c r="I71" s="520"/>
    </row>
    <row r="72" spans="1:9" ht="15" customHeight="1">
      <c r="A72" s="932" t="s">
        <v>65</v>
      </c>
      <c r="B72" s="584">
        <v>0</v>
      </c>
      <c r="C72" s="584">
        <v>0</v>
      </c>
      <c r="D72" s="584">
        <v>0</v>
      </c>
      <c r="E72" s="584">
        <v>0</v>
      </c>
      <c r="F72" s="584">
        <v>0</v>
      </c>
      <c r="G72" s="584">
        <v>0</v>
      </c>
      <c r="H72" s="913"/>
      <c r="I72" s="520"/>
    </row>
    <row r="73" spans="1:9" ht="15" customHeight="1">
      <c r="A73" s="932" t="s">
        <v>69</v>
      </c>
      <c r="B73" s="584">
        <v>0</v>
      </c>
      <c r="C73" s="584">
        <v>0</v>
      </c>
      <c r="D73" s="584">
        <v>0</v>
      </c>
      <c r="E73" s="584">
        <v>0</v>
      </c>
      <c r="F73" s="584">
        <v>0</v>
      </c>
      <c r="G73" s="584">
        <v>0</v>
      </c>
      <c r="H73" s="913"/>
      <c r="I73" s="520"/>
    </row>
    <row r="74" spans="1:9" ht="15" customHeight="1">
      <c r="A74" s="932" t="s">
        <v>70</v>
      </c>
      <c r="B74" s="584">
        <v>0</v>
      </c>
      <c r="C74" s="584">
        <v>0</v>
      </c>
      <c r="D74" s="584">
        <v>0</v>
      </c>
      <c r="E74" s="584">
        <v>0</v>
      </c>
      <c r="F74" s="584">
        <v>0</v>
      </c>
      <c r="G74" s="584">
        <v>0</v>
      </c>
      <c r="H74" s="913"/>
      <c r="I74" s="520"/>
    </row>
    <row r="75" spans="1:9" ht="15" customHeight="1">
      <c r="A75" s="932" t="s">
        <v>71</v>
      </c>
      <c r="B75" s="584">
        <v>0</v>
      </c>
      <c r="C75" s="584">
        <v>0</v>
      </c>
      <c r="D75" s="584">
        <v>0</v>
      </c>
      <c r="E75" s="584">
        <v>0</v>
      </c>
      <c r="F75" s="584">
        <v>0</v>
      </c>
      <c r="G75" s="584">
        <v>0</v>
      </c>
      <c r="H75" s="913"/>
      <c r="I75" s="520"/>
    </row>
    <row r="76" spans="1:9" ht="15" customHeight="1">
      <c r="A76" s="932" t="s">
        <v>72</v>
      </c>
      <c r="B76" s="584">
        <v>0</v>
      </c>
      <c r="C76" s="584">
        <v>0</v>
      </c>
      <c r="D76" s="584">
        <v>0</v>
      </c>
      <c r="E76" s="584">
        <v>0</v>
      </c>
      <c r="F76" s="584">
        <v>0</v>
      </c>
      <c r="G76" s="584">
        <v>0</v>
      </c>
      <c r="H76" s="913"/>
      <c r="I76" s="520"/>
    </row>
    <row r="77" spans="1:9" ht="15" customHeight="1">
      <c r="A77" s="936" t="s">
        <v>549</v>
      </c>
      <c r="B77" s="502">
        <v>3</v>
      </c>
      <c r="C77" s="502">
        <v>0</v>
      </c>
      <c r="D77" s="502">
        <v>3</v>
      </c>
      <c r="E77" s="502">
        <v>3</v>
      </c>
      <c r="F77" s="502">
        <v>0</v>
      </c>
      <c r="G77" s="502">
        <v>3</v>
      </c>
      <c r="H77" s="913"/>
      <c r="I77" s="520"/>
    </row>
    <row r="78" spans="1:9" ht="15" customHeight="1">
      <c r="A78" s="934"/>
      <c r="B78" s="913"/>
      <c r="C78" s="913"/>
      <c r="D78" s="913"/>
      <c r="E78" s="913"/>
      <c r="F78" s="913"/>
      <c r="G78" s="913"/>
      <c r="H78" s="913"/>
      <c r="I78" s="934"/>
    </row>
    <row r="79" spans="1:9" ht="15" customHeight="1">
      <c r="A79" s="1002" t="s">
        <v>553</v>
      </c>
      <c r="B79" s="1003"/>
      <c r="C79" s="1003"/>
      <c r="D79" s="1003"/>
      <c r="E79" s="1003"/>
      <c r="F79" s="1003"/>
      <c r="G79" s="981"/>
      <c r="H79" s="913"/>
      <c r="I79" s="934"/>
    </row>
    <row r="80" spans="1:9" ht="18.75" customHeight="1">
      <c r="A80" s="985" t="s">
        <v>554</v>
      </c>
      <c r="B80" s="985"/>
      <c r="C80" s="985"/>
      <c r="D80" s="985"/>
      <c r="E80" s="985"/>
      <c r="F80" s="985"/>
      <c r="G80" s="985"/>
      <c r="H80" s="913"/>
      <c r="I80" s="934"/>
    </row>
    <row r="81" spans="1:9" ht="15" customHeight="1">
      <c r="A81" s="931" t="s">
        <v>56</v>
      </c>
      <c r="B81" s="931" t="s">
        <v>36</v>
      </c>
      <c r="C81" s="931" t="s">
        <v>73</v>
      </c>
      <c r="D81" s="530" t="s">
        <v>74</v>
      </c>
      <c r="E81" s="931" t="s">
        <v>548</v>
      </c>
      <c r="F81" s="931" t="s">
        <v>38</v>
      </c>
      <c r="G81" s="530" t="s">
        <v>436</v>
      </c>
      <c r="H81" s="913"/>
      <c r="I81" s="934"/>
    </row>
    <row r="82" spans="1:9" ht="15" customHeight="1">
      <c r="A82" s="932" t="s">
        <v>66</v>
      </c>
      <c r="B82" s="584">
        <v>0</v>
      </c>
      <c r="C82" s="584">
        <v>0</v>
      </c>
      <c r="D82" s="584">
        <v>0</v>
      </c>
      <c r="E82" s="584">
        <v>0</v>
      </c>
      <c r="F82" s="584">
        <v>0</v>
      </c>
      <c r="G82" s="584">
        <v>0</v>
      </c>
      <c r="H82" s="913"/>
      <c r="I82" s="520"/>
    </row>
    <row r="83" spans="1:9" ht="15" customHeight="1">
      <c r="A83" s="932" t="s">
        <v>64</v>
      </c>
      <c r="B83" s="584">
        <v>39</v>
      </c>
      <c r="C83" s="584">
        <v>2</v>
      </c>
      <c r="D83" s="584">
        <v>37</v>
      </c>
      <c r="E83" s="584">
        <v>35</v>
      </c>
      <c r="F83" s="584">
        <v>4</v>
      </c>
      <c r="G83" s="584">
        <v>53</v>
      </c>
      <c r="H83" s="913"/>
      <c r="I83" s="934"/>
    </row>
    <row r="84" spans="1:9" ht="15" customHeight="1">
      <c r="A84" s="932" t="s">
        <v>67</v>
      </c>
      <c r="B84" s="584">
        <v>0</v>
      </c>
      <c r="C84" s="584">
        <v>0</v>
      </c>
      <c r="D84" s="584">
        <v>0</v>
      </c>
      <c r="E84" s="584">
        <v>0</v>
      </c>
      <c r="F84" s="584">
        <v>0</v>
      </c>
      <c r="G84" s="584">
        <v>0</v>
      </c>
      <c r="H84" s="913"/>
      <c r="I84" s="520"/>
    </row>
    <row r="85" spans="1:9" ht="15" customHeight="1">
      <c r="A85" s="932" t="s">
        <v>68</v>
      </c>
      <c r="B85" s="584">
        <v>0</v>
      </c>
      <c r="C85" s="584">
        <v>0</v>
      </c>
      <c r="D85" s="584">
        <v>0</v>
      </c>
      <c r="E85" s="584">
        <v>0</v>
      </c>
      <c r="F85" s="584">
        <v>0</v>
      </c>
      <c r="G85" s="584">
        <v>0</v>
      </c>
      <c r="H85" s="913"/>
      <c r="I85" s="520"/>
    </row>
    <row r="86" spans="1:9" ht="15" customHeight="1">
      <c r="A86" s="932" t="s">
        <v>65</v>
      </c>
      <c r="B86" s="584">
        <v>0</v>
      </c>
      <c r="C86" s="584">
        <v>0</v>
      </c>
      <c r="D86" s="584">
        <v>0</v>
      </c>
      <c r="E86" s="584">
        <v>0</v>
      </c>
      <c r="F86" s="584">
        <v>0</v>
      </c>
      <c r="G86" s="584">
        <v>0</v>
      </c>
      <c r="H86" s="913"/>
      <c r="I86" s="520"/>
    </row>
    <row r="87" spans="1:9" ht="15" customHeight="1">
      <c r="A87" s="932" t="s">
        <v>69</v>
      </c>
      <c r="B87" s="584">
        <v>0</v>
      </c>
      <c r="C87" s="584">
        <v>0</v>
      </c>
      <c r="D87" s="584">
        <v>0</v>
      </c>
      <c r="E87" s="584">
        <v>0</v>
      </c>
      <c r="F87" s="584">
        <v>0</v>
      </c>
      <c r="G87" s="584">
        <v>0</v>
      </c>
      <c r="H87" s="913"/>
      <c r="I87" s="520"/>
    </row>
    <row r="88" spans="1:9" ht="15" customHeight="1">
      <c r="A88" s="932" t="s">
        <v>70</v>
      </c>
      <c r="B88" s="584">
        <v>0</v>
      </c>
      <c r="C88" s="584">
        <v>0</v>
      </c>
      <c r="D88" s="584">
        <v>0</v>
      </c>
      <c r="E88" s="584">
        <v>0</v>
      </c>
      <c r="F88" s="584">
        <v>0</v>
      </c>
      <c r="G88" s="584">
        <v>0</v>
      </c>
      <c r="H88" s="913"/>
      <c r="I88" s="520"/>
    </row>
    <row r="89" spans="1:9" ht="15" customHeight="1">
      <c r="A89" s="932" t="s">
        <v>71</v>
      </c>
      <c r="B89" s="584">
        <v>0</v>
      </c>
      <c r="C89" s="584">
        <v>0</v>
      </c>
      <c r="D89" s="584">
        <v>0</v>
      </c>
      <c r="E89" s="584">
        <v>0</v>
      </c>
      <c r="F89" s="584">
        <v>0</v>
      </c>
      <c r="G89" s="584">
        <v>0</v>
      </c>
      <c r="H89" s="913"/>
      <c r="I89" s="520"/>
    </row>
    <row r="90" spans="1:9" ht="15" customHeight="1">
      <c r="A90" s="932" t="s">
        <v>72</v>
      </c>
      <c r="B90" s="584">
        <v>0</v>
      </c>
      <c r="C90" s="584">
        <v>0</v>
      </c>
      <c r="D90" s="584">
        <v>0</v>
      </c>
      <c r="E90" s="584">
        <v>0</v>
      </c>
      <c r="F90" s="584">
        <v>0</v>
      </c>
      <c r="G90" s="584">
        <v>0</v>
      </c>
      <c r="H90" s="913"/>
      <c r="I90" s="520"/>
    </row>
    <row r="91" spans="1:9" ht="15" customHeight="1">
      <c r="A91" s="936" t="s">
        <v>549</v>
      </c>
      <c r="B91" s="502">
        <v>39</v>
      </c>
      <c r="C91" s="502">
        <v>2</v>
      </c>
      <c r="D91" s="502">
        <v>37</v>
      </c>
      <c r="E91" s="502">
        <v>35</v>
      </c>
      <c r="F91" s="502">
        <v>4</v>
      </c>
      <c r="G91" s="502">
        <v>53</v>
      </c>
      <c r="H91" s="913"/>
      <c r="I91" s="934"/>
    </row>
    <row r="92" spans="1:9" ht="15" customHeight="1">
      <c r="A92" s="986"/>
      <c r="B92" s="986"/>
      <c r="C92" s="986"/>
      <c r="D92" s="986"/>
      <c r="E92" s="986"/>
      <c r="F92" s="986"/>
      <c r="G92" s="986"/>
      <c r="H92" s="986"/>
      <c r="I92" s="986"/>
    </row>
    <row r="93" spans="1:9" ht="15" customHeight="1">
      <c r="A93" s="987" t="s">
        <v>555</v>
      </c>
      <c r="B93" s="987"/>
      <c r="C93" s="987"/>
      <c r="D93" s="987"/>
      <c r="E93" s="987"/>
      <c r="F93" s="987"/>
      <c r="G93" s="987"/>
      <c r="H93" s="987"/>
      <c r="I93" s="987"/>
    </row>
    <row r="94" spans="1:9" ht="15" customHeight="1">
      <c r="A94" s="931" t="s">
        <v>56</v>
      </c>
      <c r="B94" s="931" t="s">
        <v>36</v>
      </c>
      <c r="C94" s="931" t="s">
        <v>73</v>
      </c>
      <c r="D94" s="931" t="s">
        <v>74</v>
      </c>
      <c r="E94" s="931" t="s">
        <v>548</v>
      </c>
      <c r="F94" s="931" t="s">
        <v>38</v>
      </c>
      <c r="G94" s="931" t="s">
        <v>556</v>
      </c>
      <c r="H94" s="931" t="s">
        <v>557</v>
      </c>
      <c r="I94" s="530" t="s">
        <v>558</v>
      </c>
    </row>
    <row r="95" spans="1:9" ht="14.25" customHeight="1">
      <c r="A95" s="582" t="s">
        <v>66</v>
      </c>
      <c r="B95" s="584">
        <v>6</v>
      </c>
      <c r="C95" s="584"/>
      <c r="D95" s="584">
        <v>6</v>
      </c>
      <c r="E95" s="584">
        <v>0</v>
      </c>
      <c r="F95" s="584">
        <v>6</v>
      </c>
      <c r="G95" s="584">
        <v>6</v>
      </c>
      <c r="H95" s="584">
        <v>0</v>
      </c>
      <c r="I95" s="560">
        <v>0</v>
      </c>
    </row>
    <row r="96" spans="1:9" ht="15" customHeight="1">
      <c r="A96" s="582" t="s">
        <v>64</v>
      </c>
      <c r="B96" s="584">
        <v>36</v>
      </c>
      <c r="C96" s="584"/>
      <c r="D96" s="584">
        <v>36</v>
      </c>
      <c r="E96" s="584">
        <v>21</v>
      </c>
      <c r="F96" s="584">
        <v>15</v>
      </c>
      <c r="G96" s="584">
        <v>31</v>
      </c>
      <c r="H96" s="584">
        <v>2</v>
      </c>
      <c r="I96" s="560">
        <v>3</v>
      </c>
    </row>
    <row r="97" spans="1:9" ht="15" customHeight="1">
      <c r="A97" s="582" t="s">
        <v>67</v>
      </c>
      <c r="B97" s="584">
        <v>7</v>
      </c>
      <c r="C97" s="584"/>
      <c r="D97" s="584">
        <v>7</v>
      </c>
      <c r="E97" s="584">
        <v>1</v>
      </c>
      <c r="F97" s="584">
        <v>6</v>
      </c>
      <c r="G97" s="584">
        <v>6</v>
      </c>
      <c r="H97" s="584">
        <v>0</v>
      </c>
      <c r="I97" s="560">
        <v>1</v>
      </c>
    </row>
    <row r="98" spans="1:9" ht="15" customHeight="1">
      <c r="A98" s="582" t="s">
        <v>68</v>
      </c>
      <c r="B98" s="584">
        <v>17</v>
      </c>
      <c r="C98" s="584"/>
      <c r="D98" s="584">
        <v>17</v>
      </c>
      <c r="E98" s="584">
        <v>4</v>
      </c>
      <c r="F98" s="584">
        <v>13</v>
      </c>
      <c r="G98" s="584">
        <v>15</v>
      </c>
      <c r="H98" s="584">
        <v>1</v>
      </c>
      <c r="I98" s="560">
        <v>1</v>
      </c>
    </row>
    <row r="99" spans="1:9" ht="15" customHeight="1">
      <c r="A99" s="582" t="s">
        <v>65</v>
      </c>
      <c r="B99" s="584">
        <v>9</v>
      </c>
      <c r="C99" s="584"/>
      <c r="D99" s="584">
        <v>9</v>
      </c>
      <c r="E99" s="584">
        <v>4</v>
      </c>
      <c r="F99" s="584">
        <v>5</v>
      </c>
      <c r="G99" s="584">
        <v>9</v>
      </c>
      <c r="H99" s="584">
        <v>0</v>
      </c>
      <c r="I99" s="560">
        <v>0</v>
      </c>
    </row>
    <row r="100" spans="1:9" ht="15" customHeight="1">
      <c r="A100" s="582" t="s">
        <v>69</v>
      </c>
      <c r="B100" s="584">
        <v>3</v>
      </c>
      <c r="C100" s="584"/>
      <c r="D100" s="584">
        <v>3</v>
      </c>
      <c r="E100" s="584">
        <v>0</v>
      </c>
      <c r="F100" s="584">
        <v>3</v>
      </c>
      <c r="G100" s="584">
        <v>2</v>
      </c>
      <c r="H100" s="584">
        <v>0</v>
      </c>
      <c r="I100" s="560">
        <v>1</v>
      </c>
    </row>
    <row r="101" spans="1:9" ht="15" customHeight="1">
      <c r="A101" s="582" t="s">
        <v>70</v>
      </c>
      <c r="B101" s="584">
        <v>8</v>
      </c>
      <c r="C101" s="584"/>
      <c r="D101" s="584">
        <v>8</v>
      </c>
      <c r="E101" s="584">
        <v>6</v>
      </c>
      <c r="F101" s="584">
        <v>2</v>
      </c>
      <c r="G101" s="584">
        <v>7</v>
      </c>
      <c r="H101" s="584">
        <v>0</v>
      </c>
      <c r="I101" s="560">
        <v>1</v>
      </c>
    </row>
    <row r="102" spans="1:9" ht="15" customHeight="1">
      <c r="A102" s="582" t="s">
        <v>71</v>
      </c>
      <c r="B102" s="584">
        <v>5</v>
      </c>
      <c r="C102" s="584"/>
      <c r="D102" s="584">
        <v>5</v>
      </c>
      <c r="E102" s="584">
        <v>2</v>
      </c>
      <c r="F102" s="584">
        <v>3</v>
      </c>
      <c r="G102" s="584">
        <v>5</v>
      </c>
      <c r="H102" s="584">
        <v>0</v>
      </c>
      <c r="I102" s="560">
        <v>0</v>
      </c>
    </row>
    <row r="103" spans="1:10" ht="15" customHeight="1">
      <c r="A103" s="582" t="s">
        <v>72</v>
      </c>
      <c r="B103" s="584">
        <v>30</v>
      </c>
      <c r="C103" s="584"/>
      <c r="D103" s="584">
        <v>30</v>
      </c>
      <c r="E103" s="584">
        <v>10</v>
      </c>
      <c r="F103" s="584">
        <v>20</v>
      </c>
      <c r="G103" s="584">
        <v>21</v>
      </c>
      <c r="H103" s="584">
        <v>7</v>
      </c>
      <c r="I103" s="560">
        <v>2</v>
      </c>
      <c r="J103" s="921"/>
    </row>
    <row r="104" spans="1:10" ht="15" customHeight="1">
      <c r="A104" s="919" t="s">
        <v>227</v>
      </c>
      <c r="B104" s="502">
        <f>SUM(B95:B103)</f>
        <v>121</v>
      </c>
      <c r="C104" s="502">
        <v>0</v>
      </c>
      <c r="D104" s="502">
        <f aca="true" t="shared" si="2" ref="D104:I104">SUM(D95:D103)</f>
        <v>121</v>
      </c>
      <c r="E104" s="502">
        <f t="shared" si="2"/>
        <v>48</v>
      </c>
      <c r="F104" s="502">
        <f t="shared" si="2"/>
        <v>73</v>
      </c>
      <c r="G104" s="502">
        <f t="shared" si="2"/>
        <v>102</v>
      </c>
      <c r="H104" s="502">
        <f t="shared" si="2"/>
        <v>10</v>
      </c>
      <c r="I104" s="502">
        <f t="shared" si="2"/>
        <v>9</v>
      </c>
      <c r="J104" s="921"/>
    </row>
    <row r="105" spans="1:11" ht="15" customHeight="1">
      <c r="A105" s="939"/>
      <c r="B105" s="940"/>
      <c r="C105" s="940"/>
      <c r="D105" s="940"/>
      <c r="E105" s="940"/>
      <c r="F105" s="940"/>
      <c r="G105" s="940"/>
      <c r="H105" s="941"/>
      <c r="I105" s="941"/>
      <c r="J105" s="921"/>
      <c r="K105" s="921"/>
    </row>
    <row r="106" spans="1:10" ht="15" customHeight="1">
      <c r="A106" s="1002" t="s">
        <v>559</v>
      </c>
      <c r="B106" s="1003"/>
      <c r="C106" s="1003"/>
      <c r="D106" s="1003"/>
      <c r="E106" s="1003"/>
      <c r="F106" s="1003"/>
      <c r="G106" s="1003"/>
      <c r="H106" s="1003"/>
      <c r="I106" s="981"/>
      <c r="J106" s="921"/>
    </row>
    <row r="107" spans="1:10" ht="15" customHeight="1">
      <c r="A107" s="512" t="s">
        <v>56</v>
      </c>
      <c r="B107" s="512" t="s">
        <v>36</v>
      </c>
      <c r="C107" s="512" t="s">
        <v>73</v>
      </c>
      <c r="D107" s="512" t="s">
        <v>74</v>
      </c>
      <c r="E107" s="512" t="s">
        <v>548</v>
      </c>
      <c r="F107" s="512" t="s">
        <v>38</v>
      </c>
      <c r="G107" s="512" t="s">
        <v>556</v>
      </c>
      <c r="H107" s="512" t="s">
        <v>557</v>
      </c>
      <c r="I107" s="511" t="s">
        <v>558</v>
      </c>
      <c r="J107" s="909"/>
    </row>
    <row r="108" spans="1:9" ht="15" customHeight="1">
      <c r="A108" s="582" t="s">
        <v>66</v>
      </c>
      <c r="B108" s="584">
        <v>9</v>
      </c>
      <c r="C108" s="584">
        <v>8</v>
      </c>
      <c r="D108" s="584">
        <v>1</v>
      </c>
      <c r="E108" s="584">
        <v>2</v>
      </c>
      <c r="F108" s="584">
        <v>7</v>
      </c>
      <c r="G108" s="584">
        <v>9</v>
      </c>
      <c r="H108" s="584">
        <v>0</v>
      </c>
      <c r="I108" s="560">
        <v>0</v>
      </c>
    </row>
    <row r="109" spans="1:9" ht="15" customHeight="1">
      <c r="A109" s="582" t="s">
        <v>64</v>
      </c>
      <c r="B109" s="584">
        <v>38</v>
      </c>
      <c r="C109" s="584">
        <v>15</v>
      </c>
      <c r="D109" s="584">
        <v>23</v>
      </c>
      <c r="E109" s="584">
        <v>16</v>
      </c>
      <c r="F109" s="584">
        <v>22</v>
      </c>
      <c r="G109" s="584">
        <v>32</v>
      </c>
      <c r="H109" s="584">
        <v>6</v>
      </c>
      <c r="I109" s="560">
        <v>0</v>
      </c>
    </row>
    <row r="110" spans="1:9" ht="15" customHeight="1">
      <c r="A110" s="582" t="s">
        <v>67</v>
      </c>
      <c r="B110" s="584">
        <v>2</v>
      </c>
      <c r="C110" s="584">
        <v>1</v>
      </c>
      <c r="D110" s="584">
        <v>1</v>
      </c>
      <c r="E110" s="584">
        <v>1</v>
      </c>
      <c r="F110" s="584">
        <v>1</v>
      </c>
      <c r="G110" s="584">
        <v>2</v>
      </c>
      <c r="H110" s="584">
        <v>0</v>
      </c>
      <c r="I110" s="560">
        <v>0</v>
      </c>
    </row>
    <row r="111" spans="1:9" ht="15" customHeight="1">
      <c r="A111" s="582" t="s">
        <v>68</v>
      </c>
      <c r="B111" s="584">
        <v>17</v>
      </c>
      <c r="C111" s="584">
        <v>6</v>
      </c>
      <c r="D111" s="584">
        <v>11</v>
      </c>
      <c r="E111" s="584">
        <v>9</v>
      </c>
      <c r="F111" s="584">
        <v>8</v>
      </c>
      <c r="G111" s="584">
        <v>16</v>
      </c>
      <c r="H111" s="584">
        <v>1</v>
      </c>
      <c r="I111" s="560">
        <v>0</v>
      </c>
    </row>
    <row r="112" spans="1:9" ht="15" customHeight="1">
      <c r="A112" s="582" t="s">
        <v>65</v>
      </c>
      <c r="B112" s="584">
        <v>7</v>
      </c>
      <c r="C112" s="584">
        <v>2</v>
      </c>
      <c r="D112" s="584">
        <v>5</v>
      </c>
      <c r="E112" s="584">
        <v>5</v>
      </c>
      <c r="F112" s="584">
        <v>2</v>
      </c>
      <c r="G112" s="584">
        <v>6</v>
      </c>
      <c r="H112" s="584">
        <v>1</v>
      </c>
      <c r="I112" s="560">
        <v>0</v>
      </c>
    </row>
    <row r="113" spans="1:9" ht="15" customHeight="1">
      <c r="A113" s="582" t="s">
        <v>69</v>
      </c>
      <c r="B113" s="584">
        <v>3</v>
      </c>
      <c r="C113" s="584">
        <v>2</v>
      </c>
      <c r="D113" s="584">
        <v>1</v>
      </c>
      <c r="E113" s="584">
        <v>1</v>
      </c>
      <c r="F113" s="584">
        <v>2</v>
      </c>
      <c r="G113" s="584">
        <v>2</v>
      </c>
      <c r="H113" s="584">
        <v>1</v>
      </c>
      <c r="I113" s="560">
        <v>0</v>
      </c>
    </row>
    <row r="114" spans="1:9" ht="15" customHeight="1">
      <c r="A114" s="582" t="s">
        <v>70</v>
      </c>
      <c r="B114" s="584">
        <v>13</v>
      </c>
      <c r="C114" s="584">
        <v>6</v>
      </c>
      <c r="D114" s="584">
        <v>7</v>
      </c>
      <c r="E114" s="584">
        <v>9</v>
      </c>
      <c r="F114" s="584">
        <v>4</v>
      </c>
      <c r="G114" s="584">
        <v>12</v>
      </c>
      <c r="H114" s="584">
        <v>1</v>
      </c>
      <c r="I114" s="560">
        <v>0</v>
      </c>
    </row>
    <row r="115" spans="1:9" ht="15" customHeight="1">
      <c r="A115" s="582" t="s">
        <v>71</v>
      </c>
      <c r="B115" s="584">
        <v>2</v>
      </c>
      <c r="C115" s="584">
        <v>0</v>
      </c>
      <c r="D115" s="584">
        <v>2</v>
      </c>
      <c r="E115" s="584">
        <v>2</v>
      </c>
      <c r="F115" s="584">
        <v>0</v>
      </c>
      <c r="G115" s="584">
        <v>2</v>
      </c>
      <c r="H115" s="584">
        <v>0</v>
      </c>
      <c r="I115" s="560">
        <v>0</v>
      </c>
    </row>
    <row r="116" spans="1:9" ht="15" customHeight="1">
      <c r="A116" s="582" t="s">
        <v>72</v>
      </c>
      <c r="B116" s="584">
        <v>23</v>
      </c>
      <c r="C116" s="584">
        <v>6</v>
      </c>
      <c r="D116" s="584">
        <v>17</v>
      </c>
      <c r="E116" s="584">
        <v>19</v>
      </c>
      <c r="F116" s="584">
        <v>4</v>
      </c>
      <c r="G116" s="584">
        <v>19</v>
      </c>
      <c r="H116" s="584">
        <v>4</v>
      </c>
      <c r="I116" s="560">
        <v>0</v>
      </c>
    </row>
    <row r="117" spans="1:9" ht="15" customHeight="1">
      <c r="A117" s="919" t="s">
        <v>227</v>
      </c>
      <c r="B117" s="502">
        <f aca="true" t="shared" si="3" ref="B117:H117">SUM(B108:B116)</f>
        <v>114</v>
      </c>
      <c r="C117" s="502">
        <f t="shared" si="3"/>
        <v>46</v>
      </c>
      <c r="D117" s="502">
        <f t="shared" si="3"/>
        <v>68</v>
      </c>
      <c r="E117" s="502">
        <f t="shared" si="3"/>
        <v>64</v>
      </c>
      <c r="F117" s="502">
        <f t="shared" si="3"/>
        <v>50</v>
      </c>
      <c r="G117" s="502">
        <f t="shared" si="3"/>
        <v>100</v>
      </c>
      <c r="H117" s="502">
        <f t="shared" si="3"/>
        <v>14</v>
      </c>
      <c r="I117" s="502">
        <v>0</v>
      </c>
    </row>
    <row r="118" spans="1:10" ht="15" customHeight="1">
      <c r="A118" s="939"/>
      <c r="B118" s="942"/>
      <c r="C118" s="942"/>
      <c r="D118" s="942"/>
      <c r="E118" s="942"/>
      <c r="F118" s="942"/>
      <c r="G118" s="942"/>
      <c r="H118" s="913"/>
      <c r="I118" s="942"/>
      <c r="J118" s="921"/>
    </row>
    <row r="119" spans="1:9" ht="15" customHeight="1">
      <c r="A119" s="1002" t="s">
        <v>560</v>
      </c>
      <c r="B119" s="1003"/>
      <c r="C119" s="1003"/>
      <c r="D119" s="1003"/>
      <c r="E119" s="1003"/>
      <c r="F119" s="1003"/>
      <c r="G119" s="981"/>
      <c r="H119" s="912"/>
      <c r="I119" s="943"/>
    </row>
    <row r="120" spans="1:9" ht="18.75" customHeight="1">
      <c r="A120" s="983" t="s">
        <v>561</v>
      </c>
      <c r="B120" s="983"/>
      <c r="C120" s="983"/>
      <c r="D120" s="983"/>
      <c r="E120" s="983"/>
      <c r="F120" s="983"/>
      <c r="G120" s="983"/>
      <c r="H120" s="942"/>
      <c r="I120" s="943"/>
    </row>
    <row r="121" spans="1:9" ht="15" customHeight="1">
      <c r="A121" s="931" t="s">
        <v>56</v>
      </c>
      <c r="B121" s="931" t="s">
        <v>36</v>
      </c>
      <c r="C121" s="931" t="s">
        <v>73</v>
      </c>
      <c r="D121" s="931" t="s">
        <v>74</v>
      </c>
      <c r="E121" s="931" t="s">
        <v>548</v>
      </c>
      <c r="F121" s="931" t="s">
        <v>38</v>
      </c>
      <c r="G121" s="931" t="s">
        <v>484</v>
      </c>
      <c r="H121" s="942"/>
      <c r="I121" s="943"/>
    </row>
    <row r="122" spans="1:9" ht="15" customHeight="1">
      <c r="A122" s="932" t="s">
        <v>66</v>
      </c>
      <c r="B122" s="584">
        <v>2</v>
      </c>
      <c r="C122" s="584">
        <v>0</v>
      </c>
      <c r="D122" s="584">
        <v>2</v>
      </c>
      <c r="E122" s="584">
        <v>1</v>
      </c>
      <c r="F122" s="584">
        <v>1</v>
      </c>
      <c r="G122" s="584">
        <v>2</v>
      </c>
      <c r="H122" s="942"/>
      <c r="I122" s="943"/>
    </row>
    <row r="123" spans="1:9" ht="15" customHeight="1">
      <c r="A123" s="582" t="s">
        <v>64</v>
      </c>
      <c r="B123" s="584">
        <v>28</v>
      </c>
      <c r="C123" s="584">
        <v>7</v>
      </c>
      <c r="D123" s="584">
        <v>21</v>
      </c>
      <c r="E123" s="584">
        <v>17</v>
      </c>
      <c r="F123" s="584">
        <v>11</v>
      </c>
      <c r="G123" s="584">
        <v>46</v>
      </c>
      <c r="H123" s="942"/>
      <c r="I123" s="943"/>
    </row>
    <row r="124" spans="1:9" ht="15" customHeight="1">
      <c r="A124" s="582" t="s">
        <v>67</v>
      </c>
      <c r="B124" s="584">
        <v>0</v>
      </c>
      <c r="C124" s="584">
        <v>0</v>
      </c>
      <c r="D124" s="584">
        <v>0</v>
      </c>
      <c r="E124" s="584">
        <v>0</v>
      </c>
      <c r="F124" s="584">
        <v>0</v>
      </c>
      <c r="G124" s="584">
        <v>0</v>
      </c>
      <c r="H124" s="942"/>
      <c r="I124" s="943"/>
    </row>
    <row r="125" spans="1:9" ht="15" customHeight="1">
      <c r="A125" s="582" t="s">
        <v>68</v>
      </c>
      <c r="B125" s="584">
        <v>3</v>
      </c>
      <c r="C125" s="584">
        <v>0</v>
      </c>
      <c r="D125" s="584">
        <v>3</v>
      </c>
      <c r="E125" s="584">
        <v>3</v>
      </c>
      <c r="F125" s="584">
        <v>0</v>
      </c>
      <c r="G125" s="584">
        <v>3</v>
      </c>
      <c r="H125" s="942"/>
      <c r="I125" s="943"/>
    </row>
    <row r="126" spans="1:9" ht="15" customHeight="1">
      <c r="A126" s="582" t="s">
        <v>65</v>
      </c>
      <c r="B126" s="584">
        <v>0</v>
      </c>
      <c r="C126" s="584">
        <v>0</v>
      </c>
      <c r="D126" s="584">
        <v>0</v>
      </c>
      <c r="E126" s="584">
        <v>0</v>
      </c>
      <c r="F126" s="584">
        <v>0</v>
      </c>
      <c r="G126" s="584">
        <v>0</v>
      </c>
      <c r="H126" s="942"/>
      <c r="I126" s="943"/>
    </row>
    <row r="127" spans="1:9" ht="15" customHeight="1">
      <c r="A127" s="582" t="s">
        <v>69</v>
      </c>
      <c r="B127" s="584">
        <v>0</v>
      </c>
      <c r="C127" s="584">
        <v>0</v>
      </c>
      <c r="D127" s="584">
        <v>0</v>
      </c>
      <c r="E127" s="584">
        <v>0</v>
      </c>
      <c r="F127" s="584">
        <v>0</v>
      </c>
      <c r="G127" s="584">
        <v>0</v>
      </c>
      <c r="H127" s="942"/>
      <c r="I127" s="943"/>
    </row>
    <row r="128" spans="1:9" ht="15" customHeight="1">
      <c r="A128" s="582" t="s">
        <v>70</v>
      </c>
      <c r="B128" s="584">
        <v>3</v>
      </c>
      <c r="C128" s="584">
        <v>0</v>
      </c>
      <c r="D128" s="584">
        <v>3</v>
      </c>
      <c r="E128" s="584">
        <v>3</v>
      </c>
      <c r="F128" s="584">
        <v>0</v>
      </c>
      <c r="G128" s="584">
        <v>4</v>
      </c>
      <c r="H128" s="942"/>
      <c r="I128" s="943"/>
    </row>
    <row r="129" spans="1:9" ht="15" customHeight="1">
      <c r="A129" s="582" t="s">
        <v>71</v>
      </c>
      <c r="B129" s="584">
        <v>0</v>
      </c>
      <c r="C129" s="584">
        <v>0</v>
      </c>
      <c r="D129" s="584">
        <v>0</v>
      </c>
      <c r="E129" s="584">
        <v>0</v>
      </c>
      <c r="F129" s="584">
        <v>0</v>
      </c>
      <c r="G129" s="584">
        <v>0</v>
      </c>
      <c r="H129" s="942"/>
      <c r="I129" s="943"/>
    </row>
    <row r="130" spans="1:9" ht="15" customHeight="1">
      <c r="A130" s="932" t="s">
        <v>72</v>
      </c>
      <c r="B130" s="584">
        <v>2</v>
      </c>
      <c r="C130" s="584">
        <v>1</v>
      </c>
      <c r="D130" s="584">
        <v>1</v>
      </c>
      <c r="E130" s="584">
        <v>2</v>
      </c>
      <c r="F130" s="584">
        <v>0</v>
      </c>
      <c r="G130" s="584">
        <v>1</v>
      </c>
      <c r="H130" s="942"/>
      <c r="I130" s="943"/>
    </row>
    <row r="131" spans="1:9" ht="15" customHeight="1">
      <c r="A131" s="919" t="s">
        <v>227</v>
      </c>
      <c r="B131" s="502">
        <f aca="true" t="shared" si="4" ref="B131:G131">SUM(B122:B130)</f>
        <v>38</v>
      </c>
      <c r="C131" s="502">
        <f t="shared" si="4"/>
        <v>8</v>
      </c>
      <c r="D131" s="502">
        <f t="shared" si="4"/>
        <v>30</v>
      </c>
      <c r="E131" s="502">
        <f t="shared" si="4"/>
        <v>26</v>
      </c>
      <c r="F131" s="502">
        <f t="shared" si="4"/>
        <v>12</v>
      </c>
      <c r="G131" s="502">
        <f t="shared" si="4"/>
        <v>56</v>
      </c>
      <c r="H131" s="942"/>
      <c r="I131" s="943"/>
    </row>
    <row r="132" spans="1:9" s="529" customFormat="1" ht="15" customHeight="1">
      <c r="A132" s="944"/>
      <c r="B132" s="912"/>
      <c r="C132" s="912"/>
      <c r="D132" s="912"/>
      <c r="E132" s="912"/>
      <c r="F132" s="912"/>
      <c r="G132" s="912"/>
      <c r="H132" s="913"/>
      <c r="I132" s="943"/>
    </row>
    <row r="133" spans="1:9" ht="15" customHeight="1">
      <c r="A133" s="987" t="s">
        <v>529</v>
      </c>
      <c r="B133" s="987"/>
      <c r="C133" s="987"/>
      <c r="D133" s="987"/>
      <c r="E133" s="987"/>
      <c r="F133" s="987"/>
      <c r="G133" s="987"/>
      <c r="H133" s="942"/>
      <c r="I133" s="943"/>
    </row>
    <row r="134" spans="1:9" ht="19.5" customHeight="1">
      <c r="A134" s="983" t="s">
        <v>562</v>
      </c>
      <c r="B134" s="983"/>
      <c r="C134" s="983"/>
      <c r="D134" s="983"/>
      <c r="E134" s="983"/>
      <c r="F134" s="983"/>
      <c r="G134" s="983"/>
      <c r="H134" s="942"/>
      <c r="I134" s="943"/>
    </row>
    <row r="135" spans="1:9" ht="15.75" customHeight="1">
      <c r="A135" s="983" t="s">
        <v>563</v>
      </c>
      <c r="B135" s="983"/>
      <c r="C135" s="983"/>
      <c r="D135" s="983"/>
      <c r="E135" s="983"/>
      <c r="F135" s="983"/>
      <c r="G135" s="983"/>
      <c r="H135" s="943"/>
      <c r="I135" s="942"/>
    </row>
    <row r="136" spans="1:9" ht="15" customHeight="1">
      <c r="A136" s="931" t="s">
        <v>56</v>
      </c>
      <c r="B136" s="931" t="s">
        <v>36</v>
      </c>
      <c r="C136" s="931" t="s">
        <v>73</v>
      </c>
      <c r="D136" s="931" t="s">
        <v>74</v>
      </c>
      <c r="E136" s="931" t="s">
        <v>548</v>
      </c>
      <c r="F136" s="931" t="s">
        <v>38</v>
      </c>
      <c r="G136" s="931" t="s">
        <v>484</v>
      </c>
      <c r="H136" s="942"/>
      <c r="I136" s="943"/>
    </row>
    <row r="137" spans="1:9" ht="15" customHeight="1">
      <c r="A137" s="582" t="s">
        <v>66</v>
      </c>
      <c r="B137" s="584">
        <v>0</v>
      </c>
      <c r="C137" s="584">
        <v>0</v>
      </c>
      <c r="D137" s="584">
        <v>0</v>
      </c>
      <c r="E137" s="584">
        <v>0</v>
      </c>
      <c r="F137" s="584">
        <v>0</v>
      </c>
      <c r="G137" s="584">
        <v>0</v>
      </c>
      <c r="H137" s="942"/>
      <c r="I137" s="943"/>
    </row>
    <row r="138" spans="1:9" ht="15" customHeight="1">
      <c r="A138" s="582" t="s">
        <v>64</v>
      </c>
      <c r="B138" s="584">
        <v>31</v>
      </c>
      <c r="C138" s="584">
        <v>14</v>
      </c>
      <c r="D138" s="584">
        <v>17</v>
      </c>
      <c r="E138" s="584">
        <v>30</v>
      </c>
      <c r="F138" s="584">
        <v>1</v>
      </c>
      <c r="G138" s="584">
        <v>50</v>
      </c>
      <c r="H138" s="942"/>
      <c r="I138" s="943"/>
    </row>
    <row r="139" spans="1:9" ht="15" customHeight="1">
      <c r="A139" s="582" t="s">
        <v>67</v>
      </c>
      <c r="B139" s="584">
        <v>0</v>
      </c>
      <c r="C139" s="584">
        <v>0</v>
      </c>
      <c r="D139" s="584">
        <v>0</v>
      </c>
      <c r="E139" s="584">
        <v>0</v>
      </c>
      <c r="F139" s="584">
        <v>0</v>
      </c>
      <c r="G139" s="584">
        <v>0</v>
      </c>
      <c r="H139" s="942"/>
      <c r="I139" s="943"/>
    </row>
    <row r="140" spans="1:9" ht="15" customHeight="1">
      <c r="A140" s="582" t="s">
        <v>68</v>
      </c>
      <c r="B140" s="584">
        <v>2</v>
      </c>
      <c r="C140" s="584">
        <v>1</v>
      </c>
      <c r="D140" s="584">
        <v>1</v>
      </c>
      <c r="E140" s="584">
        <v>2</v>
      </c>
      <c r="F140" s="584">
        <v>0</v>
      </c>
      <c r="G140" s="584">
        <v>1</v>
      </c>
      <c r="H140" s="942"/>
      <c r="I140" s="943"/>
    </row>
    <row r="141" spans="1:9" ht="15" customHeight="1">
      <c r="A141" s="582" t="s">
        <v>65</v>
      </c>
      <c r="B141" s="584">
        <v>13</v>
      </c>
      <c r="C141" s="584">
        <v>5</v>
      </c>
      <c r="D141" s="584">
        <v>8</v>
      </c>
      <c r="E141" s="584">
        <v>13</v>
      </c>
      <c r="F141" s="584">
        <v>0</v>
      </c>
      <c r="G141" s="584">
        <v>28</v>
      </c>
      <c r="H141" s="942"/>
      <c r="I141" s="943"/>
    </row>
    <row r="142" spans="1:9" ht="15" customHeight="1">
      <c r="A142" s="582" t="s">
        <v>69</v>
      </c>
      <c r="B142" s="584">
        <v>0</v>
      </c>
      <c r="C142" s="584">
        <v>0</v>
      </c>
      <c r="D142" s="584">
        <v>0</v>
      </c>
      <c r="E142" s="584">
        <v>0</v>
      </c>
      <c r="F142" s="584">
        <v>0</v>
      </c>
      <c r="G142" s="584">
        <v>0</v>
      </c>
      <c r="H142" s="942"/>
      <c r="I142" s="943"/>
    </row>
    <row r="143" spans="1:9" ht="15" customHeight="1">
      <c r="A143" s="582" t="s">
        <v>70</v>
      </c>
      <c r="B143" s="584">
        <v>5</v>
      </c>
      <c r="C143" s="584">
        <v>2</v>
      </c>
      <c r="D143" s="584">
        <v>3</v>
      </c>
      <c r="E143" s="584">
        <v>5</v>
      </c>
      <c r="F143" s="584">
        <v>0</v>
      </c>
      <c r="G143" s="584">
        <v>7</v>
      </c>
      <c r="H143" s="942"/>
      <c r="I143" s="943"/>
    </row>
    <row r="144" spans="1:9" ht="15" customHeight="1">
      <c r="A144" s="582" t="s">
        <v>71</v>
      </c>
      <c r="B144" s="584">
        <v>0</v>
      </c>
      <c r="C144" s="584">
        <v>0</v>
      </c>
      <c r="D144" s="584">
        <v>0</v>
      </c>
      <c r="E144" s="584">
        <v>0</v>
      </c>
      <c r="F144" s="584">
        <v>0</v>
      </c>
      <c r="G144" s="584">
        <v>0</v>
      </c>
      <c r="H144" s="942"/>
      <c r="I144" s="943"/>
    </row>
    <row r="145" spans="1:9" ht="15" customHeight="1">
      <c r="A145" s="582" t="s">
        <v>72</v>
      </c>
      <c r="B145" s="584">
        <v>9</v>
      </c>
      <c r="C145" s="584">
        <v>5</v>
      </c>
      <c r="D145" s="584">
        <v>4</v>
      </c>
      <c r="E145" s="584">
        <v>9</v>
      </c>
      <c r="F145" s="584">
        <v>0</v>
      </c>
      <c r="G145" s="584">
        <v>14</v>
      </c>
      <c r="H145" s="942"/>
      <c r="I145" s="943"/>
    </row>
    <row r="146" spans="1:9" ht="15" customHeight="1">
      <c r="A146" s="926" t="s">
        <v>94</v>
      </c>
      <c r="B146" s="501">
        <f aca="true" t="shared" si="5" ref="B146:G146">SUM(B138:B145)</f>
        <v>60</v>
      </c>
      <c r="C146" s="501">
        <f t="shared" si="5"/>
        <v>27</v>
      </c>
      <c r="D146" s="501">
        <f t="shared" si="5"/>
        <v>33</v>
      </c>
      <c r="E146" s="501">
        <f t="shared" si="5"/>
        <v>59</v>
      </c>
      <c r="F146" s="501">
        <f t="shared" si="5"/>
        <v>1</v>
      </c>
      <c r="G146" s="501">
        <f t="shared" si="5"/>
        <v>100</v>
      </c>
      <c r="H146" s="942"/>
      <c r="I146" s="943"/>
    </row>
    <row r="147" spans="1:9" ht="19.5" customHeight="1">
      <c r="A147" s="983" t="s">
        <v>564</v>
      </c>
      <c r="B147" s="983"/>
      <c r="C147" s="983"/>
      <c r="D147" s="983"/>
      <c r="E147" s="983"/>
      <c r="F147" s="983"/>
      <c r="G147" s="983"/>
      <c r="H147" s="942"/>
      <c r="I147" s="943"/>
    </row>
    <row r="148" spans="1:9" ht="15" customHeight="1">
      <c r="A148" s="931" t="s">
        <v>56</v>
      </c>
      <c r="B148" s="931" t="s">
        <v>36</v>
      </c>
      <c r="C148" s="931" t="s">
        <v>73</v>
      </c>
      <c r="D148" s="931" t="s">
        <v>74</v>
      </c>
      <c r="E148" s="931" t="s">
        <v>548</v>
      </c>
      <c r="F148" s="931" t="s">
        <v>38</v>
      </c>
      <c r="G148" s="931" t="s">
        <v>484</v>
      </c>
      <c r="H148" s="942"/>
      <c r="I148" s="943"/>
    </row>
    <row r="149" spans="1:9" ht="15" customHeight="1">
      <c r="A149" s="945" t="s">
        <v>66</v>
      </c>
      <c r="B149" s="925">
        <v>2</v>
      </c>
      <c r="C149" s="925">
        <v>1</v>
      </c>
      <c r="D149" s="925">
        <v>1</v>
      </c>
      <c r="E149" s="925">
        <v>2</v>
      </c>
      <c r="F149" s="925">
        <v>0</v>
      </c>
      <c r="G149" s="925">
        <v>1</v>
      </c>
      <c r="H149" s="942"/>
      <c r="I149" s="942"/>
    </row>
    <row r="150" spans="1:9" ht="15" customHeight="1">
      <c r="A150" s="582" t="s">
        <v>64</v>
      </c>
      <c r="B150" s="584">
        <v>0</v>
      </c>
      <c r="C150" s="584">
        <v>0</v>
      </c>
      <c r="D150" s="584">
        <v>0</v>
      </c>
      <c r="E150" s="584">
        <v>0</v>
      </c>
      <c r="F150" s="584">
        <v>0</v>
      </c>
      <c r="G150" s="584">
        <v>0</v>
      </c>
      <c r="H150" s="942"/>
      <c r="I150" s="942"/>
    </row>
    <row r="151" spans="1:9" ht="15" customHeight="1">
      <c r="A151" s="582" t="s">
        <v>67</v>
      </c>
      <c r="B151" s="584">
        <v>0</v>
      </c>
      <c r="C151" s="584">
        <v>0</v>
      </c>
      <c r="D151" s="584">
        <v>0</v>
      </c>
      <c r="E151" s="584">
        <v>0</v>
      </c>
      <c r="F151" s="584">
        <v>0</v>
      </c>
      <c r="G151" s="584">
        <v>0</v>
      </c>
      <c r="H151" s="942"/>
      <c r="I151" s="942"/>
    </row>
    <row r="152" spans="1:9" ht="15" customHeight="1">
      <c r="A152" s="582" t="s">
        <v>68</v>
      </c>
      <c r="B152" s="584">
        <v>0</v>
      </c>
      <c r="C152" s="584">
        <v>0</v>
      </c>
      <c r="D152" s="584">
        <v>0</v>
      </c>
      <c r="E152" s="584">
        <v>0</v>
      </c>
      <c r="F152" s="584">
        <v>0</v>
      </c>
      <c r="G152" s="584">
        <v>0</v>
      </c>
      <c r="H152" s="942"/>
      <c r="I152" s="942"/>
    </row>
    <row r="153" spans="1:9" ht="15" customHeight="1">
      <c r="A153" s="582" t="s">
        <v>65</v>
      </c>
      <c r="B153" s="584">
        <v>0</v>
      </c>
      <c r="C153" s="584">
        <v>0</v>
      </c>
      <c r="D153" s="584">
        <v>0</v>
      </c>
      <c r="E153" s="584">
        <v>0</v>
      </c>
      <c r="F153" s="584">
        <v>0</v>
      </c>
      <c r="G153" s="584">
        <v>0</v>
      </c>
      <c r="H153" s="942"/>
      <c r="I153" s="942"/>
    </row>
    <row r="154" spans="1:9" ht="15" customHeight="1">
      <c r="A154" s="582" t="s">
        <v>69</v>
      </c>
      <c r="B154" s="584">
        <v>0</v>
      </c>
      <c r="C154" s="584">
        <v>0</v>
      </c>
      <c r="D154" s="584">
        <v>0</v>
      </c>
      <c r="E154" s="584">
        <v>0</v>
      </c>
      <c r="F154" s="584">
        <v>0</v>
      </c>
      <c r="G154" s="584">
        <v>0</v>
      </c>
      <c r="H154" s="942"/>
      <c r="I154" s="942"/>
    </row>
    <row r="155" spans="1:9" ht="15" customHeight="1">
      <c r="A155" s="582" t="s">
        <v>70</v>
      </c>
      <c r="B155" s="584">
        <v>0</v>
      </c>
      <c r="C155" s="584">
        <v>0</v>
      </c>
      <c r="D155" s="584">
        <v>0</v>
      </c>
      <c r="E155" s="584">
        <v>0</v>
      </c>
      <c r="F155" s="584">
        <v>0</v>
      </c>
      <c r="G155" s="584">
        <v>0</v>
      </c>
      <c r="H155" s="942"/>
      <c r="I155" s="942"/>
    </row>
    <row r="156" spans="1:9" ht="15" customHeight="1">
      <c r="A156" s="582" t="s">
        <v>71</v>
      </c>
      <c r="B156" s="584">
        <v>0</v>
      </c>
      <c r="C156" s="584">
        <v>0</v>
      </c>
      <c r="D156" s="584">
        <v>0</v>
      </c>
      <c r="E156" s="584">
        <v>0</v>
      </c>
      <c r="F156" s="584">
        <v>0</v>
      </c>
      <c r="G156" s="584">
        <v>0</v>
      </c>
      <c r="H156" s="942"/>
      <c r="I156" s="942"/>
    </row>
    <row r="157" spans="1:9" ht="15" customHeight="1">
      <c r="A157" s="945" t="s">
        <v>72</v>
      </c>
      <c r="B157" s="925">
        <v>2</v>
      </c>
      <c r="C157" s="925">
        <v>1</v>
      </c>
      <c r="D157" s="925">
        <v>1</v>
      </c>
      <c r="E157" s="925">
        <v>2</v>
      </c>
      <c r="F157" s="925">
        <v>0</v>
      </c>
      <c r="G157" s="925">
        <v>12</v>
      </c>
      <c r="H157" s="942"/>
      <c r="I157" s="942"/>
    </row>
    <row r="158" spans="1:9" ht="15" customHeight="1">
      <c r="A158" s="926" t="s">
        <v>94</v>
      </c>
      <c r="B158" s="501">
        <f>SUM(B149:B157)</f>
        <v>4</v>
      </c>
      <c r="C158" s="501">
        <v>2</v>
      </c>
      <c r="D158" s="501">
        <v>2</v>
      </c>
      <c r="E158" s="501">
        <v>4</v>
      </c>
      <c r="F158" s="501">
        <v>0</v>
      </c>
      <c r="G158" s="501">
        <v>13</v>
      </c>
      <c r="H158" s="942"/>
      <c r="I158" s="942"/>
    </row>
    <row r="159" spans="1:9" ht="15" customHeight="1">
      <c r="A159" s="919" t="s">
        <v>227</v>
      </c>
      <c r="B159" s="502">
        <f>SUM(B138:B145,B157,B149)</f>
        <v>64</v>
      </c>
      <c r="C159" s="502">
        <v>30</v>
      </c>
      <c r="D159" s="502">
        <v>36</v>
      </c>
      <c r="E159" s="502">
        <v>65</v>
      </c>
      <c r="F159" s="502">
        <f>SUM(F138:F145,F157,F149)</f>
        <v>1</v>
      </c>
      <c r="G159" s="502">
        <v>114</v>
      </c>
      <c r="H159" s="942"/>
      <c r="I159" s="946"/>
    </row>
    <row r="160" spans="1:9" ht="15" customHeight="1">
      <c r="A160" s="988"/>
      <c r="B160" s="989"/>
      <c r="C160" s="989"/>
      <c r="D160" s="989"/>
      <c r="E160" s="989"/>
      <c r="F160" s="989"/>
      <c r="G160" s="989"/>
      <c r="H160" s="942"/>
      <c r="I160" s="942"/>
    </row>
    <row r="161" spans="1:9" ht="15" customHeight="1">
      <c r="A161" s="987" t="s">
        <v>565</v>
      </c>
      <c r="B161" s="987"/>
      <c r="C161" s="987"/>
      <c r="D161" s="987"/>
      <c r="E161" s="987"/>
      <c r="F161" s="987"/>
      <c r="G161" s="987"/>
      <c r="H161" s="987"/>
      <c r="I161" s="942"/>
    </row>
    <row r="162" spans="1:9" ht="18" customHeight="1">
      <c r="A162" s="983" t="s">
        <v>566</v>
      </c>
      <c r="B162" s="983"/>
      <c r="C162" s="983"/>
      <c r="D162" s="983"/>
      <c r="E162" s="983"/>
      <c r="F162" s="983"/>
      <c r="G162" s="983"/>
      <c r="H162" s="983"/>
      <c r="I162" s="942"/>
    </row>
    <row r="163" spans="1:9" ht="15.75" customHeight="1">
      <c r="A163" s="983" t="s">
        <v>567</v>
      </c>
      <c r="B163" s="983"/>
      <c r="C163" s="983"/>
      <c r="D163" s="983"/>
      <c r="E163" s="983"/>
      <c r="F163" s="983"/>
      <c r="G163" s="983"/>
      <c r="H163" s="983"/>
      <c r="I163" s="942"/>
    </row>
    <row r="164" spans="1:9" ht="32.25" customHeight="1">
      <c r="A164" s="512" t="s">
        <v>56</v>
      </c>
      <c r="B164" s="512" t="s">
        <v>36</v>
      </c>
      <c r="C164" s="512" t="s">
        <v>73</v>
      </c>
      <c r="D164" s="512" t="s">
        <v>74</v>
      </c>
      <c r="E164" s="512" t="s">
        <v>548</v>
      </c>
      <c r="F164" s="512" t="s">
        <v>38</v>
      </c>
      <c r="G164" s="512" t="s">
        <v>484</v>
      </c>
      <c r="H164" s="512" t="s">
        <v>568</v>
      </c>
      <c r="I164" s="942"/>
    </row>
    <row r="165" spans="1:9" ht="15" customHeight="1">
      <c r="A165" s="582" t="s">
        <v>66</v>
      </c>
      <c r="B165" s="584">
        <v>0</v>
      </c>
      <c r="C165" s="584">
        <v>0</v>
      </c>
      <c r="D165" s="584">
        <v>0</v>
      </c>
      <c r="E165" s="584">
        <v>0</v>
      </c>
      <c r="F165" s="584">
        <v>0</v>
      </c>
      <c r="G165" s="584">
        <v>0</v>
      </c>
      <c r="H165" s="584">
        <v>0</v>
      </c>
      <c r="I165" s="943"/>
    </row>
    <row r="166" spans="1:9" ht="15" customHeight="1">
      <c r="A166" s="582" t="s">
        <v>64</v>
      </c>
      <c r="B166" s="584">
        <v>3</v>
      </c>
      <c r="C166" s="584">
        <v>1</v>
      </c>
      <c r="D166" s="584">
        <v>2</v>
      </c>
      <c r="E166" s="584">
        <v>3</v>
      </c>
      <c r="F166" s="584">
        <v>0</v>
      </c>
      <c r="G166" s="584">
        <v>0</v>
      </c>
      <c r="H166" s="584">
        <v>0</v>
      </c>
      <c r="I166" s="942"/>
    </row>
    <row r="167" spans="1:9" ht="15" customHeight="1">
      <c r="A167" s="582" t="s">
        <v>67</v>
      </c>
      <c r="B167" s="584">
        <v>0</v>
      </c>
      <c r="C167" s="584">
        <v>0</v>
      </c>
      <c r="D167" s="584">
        <v>0</v>
      </c>
      <c r="E167" s="584">
        <v>0</v>
      </c>
      <c r="F167" s="584">
        <v>0</v>
      </c>
      <c r="G167" s="584">
        <v>0</v>
      </c>
      <c r="H167" s="584">
        <v>0</v>
      </c>
      <c r="I167" s="942"/>
    </row>
    <row r="168" spans="1:9" ht="15" customHeight="1">
      <c r="A168" s="582" t="s">
        <v>68</v>
      </c>
      <c r="B168" s="584">
        <v>0</v>
      </c>
      <c r="C168" s="584">
        <v>0</v>
      </c>
      <c r="D168" s="584">
        <v>0</v>
      </c>
      <c r="E168" s="584">
        <v>0</v>
      </c>
      <c r="F168" s="584">
        <v>0</v>
      </c>
      <c r="G168" s="584">
        <v>0</v>
      </c>
      <c r="H168" s="584">
        <v>0</v>
      </c>
      <c r="I168" s="942"/>
    </row>
    <row r="169" spans="1:9" ht="15" customHeight="1">
      <c r="A169" s="582" t="s">
        <v>65</v>
      </c>
      <c r="B169" s="584">
        <v>1</v>
      </c>
      <c r="C169" s="584">
        <v>1</v>
      </c>
      <c r="D169" s="584">
        <v>0</v>
      </c>
      <c r="E169" s="584">
        <v>1</v>
      </c>
      <c r="F169" s="584">
        <v>0</v>
      </c>
      <c r="G169" s="584">
        <v>0</v>
      </c>
      <c r="H169" s="584">
        <v>0</v>
      </c>
      <c r="I169" s="942"/>
    </row>
    <row r="170" spans="1:9" ht="15" customHeight="1">
      <c r="A170" s="582" t="s">
        <v>69</v>
      </c>
      <c r="B170" s="584">
        <v>0</v>
      </c>
      <c r="C170" s="584">
        <v>0</v>
      </c>
      <c r="D170" s="584">
        <v>0</v>
      </c>
      <c r="E170" s="584">
        <v>0</v>
      </c>
      <c r="F170" s="584">
        <v>0</v>
      </c>
      <c r="G170" s="584">
        <v>0</v>
      </c>
      <c r="H170" s="584">
        <v>0</v>
      </c>
      <c r="I170" s="942"/>
    </row>
    <row r="171" spans="1:9" ht="15" customHeight="1">
      <c r="A171" s="582" t="s">
        <v>70</v>
      </c>
      <c r="B171" s="584">
        <v>1</v>
      </c>
      <c r="C171" s="584">
        <v>0</v>
      </c>
      <c r="D171" s="584">
        <v>1</v>
      </c>
      <c r="E171" s="584">
        <v>1</v>
      </c>
      <c r="F171" s="584">
        <v>0</v>
      </c>
      <c r="G171" s="584">
        <v>0</v>
      </c>
      <c r="H171" s="584">
        <v>0</v>
      </c>
      <c r="I171" s="942"/>
    </row>
    <row r="172" spans="1:9" ht="15" customHeight="1">
      <c r="A172" s="582" t="s">
        <v>71</v>
      </c>
      <c r="B172" s="584">
        <v>1</v>
      </c>
      <c r="C172" s="584">
        <v>0</v>
      </c>
      <c r="D172" s="584">
        <v>1</v>
      </c>
      <c r="E172" s="584">
        <v>1</v>
      </c>
      <c r="F172" s="584">
        <v>0</v>
      </c>
      <c r="G172" s="584">
        <v>0</v>
      </c>
      <c r="H172" s="584">
        <v>0</v>
      </c>
      <c r="I172" s="942"/>
    </row>
    <row r="173" spans="1:9" ht="15" customHeight="1">
      <c r="A173" s="582" t="s">
        <v>72</v>
      </c>
      <c r="B173" s="584">
        <v>0</v>
      </c>
      <c r="C173" s="584">
        <v>0</v>
      </c>
      <c r="D173" s="584">
        <v>0</v>
      </c>
      <c r="E173" s="584">
        <v>0</v>
      </c>
      <c r="F173" s="584">
        <v>0</v>
      </c>
      <c r="G173" s="584">
        <v>0</v>
      </c>
      <c r="H173" s="584">
        <v>0</v>
      </c>
      <c r="I173" s="943"/>
    </row>
    <row r="174" spans="1:9" ht="15" customHeight="1">
      <c r="A174" s="919" t="s">
        <v>227</v>
      </c>
      <c r="B174" s="502">
        <v>6</v>
      </c>
      <c r="C174" s="502">
        <v>2</v>
      </c>
      <c r="D174" s="502">
        <v>4</v>
      </c>
      <c r="E174" s="502">
        <v>6</v>
      </c>
      <c r="F174" s="502">
        <v>0</v>
      </c>
      <c r="G174" s="502">
        <v>6</v>
      </c>
      <c r="H174" s="502">
        <v>10</v>
      </c>
      <c r="I174" s="942"/>
    </row>
    <row r="175" spans="1:9" s="529" customFormat="1" ht="15" customHeight="1">
      <c r="A175" s="988"/>
      <c r="B175" s="989"/>
      <c r="C175" s="989"/>
      <c r="D175" s="989"/>
      <c r="E175" s="989"/>
      <c r="F175" s="989"/>
      <c r="G175" s="989"/>
      <c r="H175" s="913"/>
      <c r="I175" s="913"/>
    </row>
    <row r="176" spans="1:9" ht="15" customHeight="1">
      <c r="A176" s="1002" t="s">
        <v>569</v>
      </c>
      <c r="B176" s="1003"/>
      <c r="C176" s="1003"/>
      <c r="D176" s="1003"/>
      <c r="E176" s="1003"/>
      <c r="F176" s="1003"/>
      <c r="G176" s="981"/>
      <c r="H176" s="942"/>
      <c r="I176" s="942"/>
    </row>
    <row r="177" spans="1:9" ht="12" customHeight="1">
      <c r="A177" s="990"/>
      <c r="B177" s="990"/>
      <c r="C177" s="990"/>
      <c r="D177" s="990"/>
      <c r="E177" s="990"/>
      <c r="F177" s="990"/>
      <c r="G177" s="990"/>
      <c r="H177" s="942"/>
      <c r="I177" s="942"/>
    </row>
    <row r="178" spans="1:9" ht="15" customHeight="1">
      <c r="A178" s="987" t="s">
        <v>570</v>
      </c>
      <c r="B178" s="987"/>
      <c r="C178" s="987"/>
      <c r="D178" s="987"/>
      <c r="E178" s="987"/>
      <c r="F178" s="987"/>
      <c r="G178" s="987"/>
      <c r="H178" s="942"/>
      <c r="I178" s="942"/>
    </row>
    <row r="179" spans="1:9" ht="15" customHeight="1">
      <c r="A179" s="991" t="s">
        <v>551</v>
      </c>
      <c r="B179" s="991"/>
      <c r="C179" s="991"/>
      <c r="D179" s="991"/>
      <c r="E179" s="991"/>
      <c r="F179" s="991"/>
      <c r="G179" s="991"/>
      <c r="H179" s="942"/>
      <c r="I179" s="942"/>
    </row>
    <row r="180" spans="1:9" ht="15" customHeight="1">
      <c r="A180" s="991" t="s">
        <v>571</v>
      </c>
      <c r="B180" s="991"/>
      <c r="C180" s="991"/>
      <c r="D180" s="991"/>
      <c r="E180" s="991"/>
      <c r="F180" s="991"/>
      <c r="G180" s="991"/>
      <c r="H180" s="942"/>
      <c r="I180" s="942"/>
    </row>
    <row r="181" spans="1:9" ht="19.5" customHeight="1">
      <c r="A181" s="931" t="s">
        <v>56</v>
      </c>
      <c r="B181" s="931" t="s">
        <v>36</v>
      </c>
      <c r="C181" s="931" t="s">
        <v>73</v>
      </c>
      <c r="D181" s="931" t="s">
        <v>74</v>
      </c>
      <c r="E181" s="931" t="s">
        <v>548</v>
      </c>
      <c r="F181" s="931" t="s">
        <v>38</v>
      </c>
      <c r="G181" s="931" t="s">
        <v>436</v>
      </c>
      <c r="H181" s="942"/>
      <c r="I181" s="942"/>
    </row>
    <row r="182" spans="1:9" ht="15" customHeight="1">
      <c r="A182" s="947" t="s">
        <v>572</v>
      </c>
      <c r="B182" s="925">
        <v>4</v>
      </c>
      <c r="C182" s="925">
        <v>1</v>
      </c>
      <c r="D182" s="925">
        <v>3</v>
      </c>
      <c r="E182" s="584">
        <v>4</v>
      </c>
      <c r="F182" s="584">
        <v>0</v>
      </c>
      <c r="G182" s="584"/>
      <c r="H182" s="941"/>
      <c r="I182" s="520"/>
    </row>
    <row r="183" spans="1:9" ht="15">
      <c r="A183" s="945" t="s">
        <v>70</v>
      </c>
      <c r="B183" s="925">
        <v>4</v>
      </c>
      <c r="C183" s="925">
        <v>0</v>
      </c>
      <c r="D183" s="925">
        <v>4</v>
      </c>
      <c r="E183" s="584">
        <v>4</v>
      </c>
      <c r="F183" s="584">
        <v>0</v>
      </c>
      <c r="G183" s="584"/>
      <c r="H183" s="913"/>
      <c r="I183" s="520"/>
    </row>
    <row r="184" spans="1:9" ht="15" customHeight="1">
      <c r="A184" s="910" t="s">
        <v>227</v>
      </c>
      <c r="B184" s="929">
        <v>8</v>
      </c>
      <c r="C184" s="929">
        <v>1</v>
      </c>
      <c r="D184" s="929">
        <v>7</v>
      </c>
      <c r="E184" s="502">
        <v>8</v>
      </c>
      <c r="F184" s="502">
        <v>0</v>
      </c>
      <c r="G184" s="502">
        <v>4</v>
      </c>
      <c r="H184" s="913"/>
      <c r="I184" s="520"/>
    </row>
    <row r="185" spans="1:9" ht="12.75" customHeight="1">
      <c r="A185" s="992"/>
      <c r="B185" s="993"/>
      <c r="C185" s="993"/>
      <c r="D185" s="993"/>
      <c r="E185" s="993"/>
      <c r="F185" s="993"/>
      <c r="G185" s="978"/>
      <c r="H185" s="948"/>
      <c r="I185" s="520"/>
    </row>
    <row r="186" spans="1:9" ht="15" customHeight="1">
      <c r="A186" s="987" t="s">
        <v>573</v>
      </c>
      <c r="B186" s="987"/>
      <c r="C186" s="987"/>
      <c r="D186" s="987"/>
      <c r="E186" s="987"/>
      <c r="F186" s="987"/>
      <c r="G186" s="987"/>
      <c r="H186" s="934"/>
      <c r="I186" s="520"/>
    </row>
    <row r="187" spans="1:9" ht="18.75" customHeight="1">
      <c r="A187" s="983" t="s">
        <v>574</v>
      </c>
      <c r="B187" s="983"/>
      <c r="C187" s="983"/>
      <c r="D187" s="983"/>
      <c r="E187" s="983"/>
      <c r="F187" s="983"/>
      <c r="G187" s="983"/>
      <c r="H187" s="934"/>
      <c r="I187" s="520"/>
    </row>
    <row r="188" spans="1:9" ht="15.75" customHeight="1">
      <c r="A188" s="983" t="s">
        <v>567</v>
      </c>
      <c r="B188" s="983"/>
      <c r="C188" s="983"/>
      <c r="D188" s="983"/>
      <c r="E188" s="983"/>
      <c r="F188" s="983"/>
      <c r="G188" s="983"/>
      <c r="H188" s="934"/>
      <c r="I188" s="520"/>
    </row>
    <row r="189" spans="1:9" ht="15" customHeight="1">
      <c r="A189" s="931" t="s">
        <v>56</v>
      </c>
      <c r="B189" s="931" t="s">
        <v>36</v>
      </c>
      <c r="C189" s="931" t="s">
        <v>73</v>
      </c>
      <c r="D189" s="931" t="s">
        <v>74</v>
      </c>
      <c r="E189" s="931" t="s">
        <v>548</v>
      </c>
      <c r="F189" s="931" t="s">
        <v>38</v>
      </c>
      <c r="G189" s="931" t="s">
        <v>436</v>
      </c>
      <c r="H189" s="934"/>
      <c r="I189" s="520"/>
    </row>
    <row r="190" spans="1:9" ht="15" customHeight="1">
      <c r="A190" s="947" t="s">
        <v>572</v>
      </c>
      <c r="B190" s="925">
        <v>4</v>
      </c>
      <c r="C190" s="925">
        <v>4</v>
      </c>
      <c r="D190" s="925">
        <v>0</v>
      </c>
      <c r="E190" s="584">
        <v>4</v>
      </c>
      <c r="F190" s="584">
        <v>0</v>
      </c>
      <c r="G190" s="584"/>
      <c r="H190" s="934"/>
      <c r="I190" s="520"/>
    </row>
    <row r="191" spans="1:9" ht="15" customHeight="1">
      <c r="A191" s="947" t="s">
        <v>70</v>
      </c>
      <c r="B191" s="925">
        <v>3</v>
      </c>
      <c r="C191" s="925">
        <v>3</v>
      </c>
      <c r="D191" s="925">
        <v>0</v>
      </c>
      <c r="E191" s="584">
        <v>3</v>
      </c>
      <c r="F191" s="584">
        <v>0</v>
      </c>
      <c r="G191" s="584"/>
      <c r="H191" s="934"/>
      <c r="I191" s="520"/>
    </row>
    <row r="192" spans="1:9" ht="15" customHeight="1">
      <c r="A192" s="910" t="s">
        <v>227</v>
      </c>
      <c r="B192" s="929">
        <v>7</v>
      </c>
      <c r="C192" s="929">
        <v>7</v>
      </c>
      <c r="D192" s="929">
        <v>0</v>
      </c>
      <c r="E192" s="502">
        <v>7</v>
      </c>
      <c r="F192" s="502">
        <v>0</v>
      </c>
      <c r="G192" s="502">
        <v>5</v>
      </c>
      <c r="H192" s="934"/>
      <c r="I192" s="520"/>
    </row>
    <row r="193" spans="1:9" ht="15" customHeight="1">
      <c r="A193" s="941"/>
      <c r="B193" s="913"/>
      <c r="C193" s="913"/>
      <c r="D193" s="913"/>
      <c r="E193" s="913"/>
      <c r="F193" s="913"/>
      <c r="G193" s="913"/>
      <c r="H193" s="934"/>
      <c r="I193" s="520"/>
    </row>
    <row r="194" spans="1:9" ht="15" customHeight="1">
      <c r="A194" s="949"/>
      <c r="B194" s="941"/>
      <c r="C194" s="941"/>
      <c r="D194" s="941"/>
      <c r="E194" s="941"/>
      <c r="F194" s="941"/>
      <c r="G194" s="934"/>
      <c r="H194" s="934"/>
      <c r="I194" s="520"/>
    </row>
    <row r="195" spans="1:9" ht="15" customHeight="1">
      <c r="A195" s="913"/>
      <c r="B195" s="913"/>
      <c r="C195" s="913"/>
      <c r="D195" s="913"/>
      <c r="E195" s="913"/>
      <c r="F195" s="934"/>
      <c r="G195" s="934"/>
      <c r="H195" s="913"/>
      <c r="I195" s="942"/>
    </row>
    <row r="196" spans="1:8" ht="15" customHeight="1">
      <c r="A196" s="934"/>
      <c r="B196" s="950"/>
      <c r="C196" s="950"/>
      <c r="D196" s="950"/>
      <c r="E196" s="950"/>
      <c r="F196" s="950"/>
      <c r="G196" s="915"/>
      <c r="H196" s="915"/>
    </row>
    <row r="197" spans="1:8" ht="15" customHeight="1">
      <c r="A197" s="934"/>
      <c r="B197" s="950"/>
      <c r="C197" s="950"/>
      <c r="D197" s="950"/>
      <c r="E197" s="950"/>
      <c r="F197" s="950"/>
      <c r="G197" s="915"/>
      <c r="H197" s="915"/>
    </row>
    <row r="198" spans="1:8" ht="15" customHeight="1">
      <c r="A198" s="930"/>
      <c r="B198" s="912"/>
      <c r="C198" s="912"/>
      <c r="D198" s="912"/>
      <c r="E198" s="912"/>
      <c r="F198" s="951"/>
      <c r="G198" s="915"/>
      <c r="H198" s="915"/>
    </row>
    <row r="199" spans="1:8" ht="15" customHeight="1">
      <c r="A199" s="950"/>
      <c r="B199" s="912"/>
      <c r="C199" s="912"/>
      <c r="D199" s="912"/>
      <c r="E199" s="912"/>
      <c r="F199" s="951"/>
      <c r="G199" s="915"/>
      <c r="H199" s="915"/>
    </row>
    <row r="200" spans="1:8" ht="15" customHeight="1">
      <c r="A200" s="941"/>
      <c r="B200" s="950"/>
      <c r="C200" s="950"/>
      <c r="D200" s="950"/>
      <c r="E200" s="950"/>
      <c r="F200" s="950"/>
      <c r="G200" s="915"/>
      <c r="H200" s="921"/>
    </row>
    <row r="201" spans="1:7" ht="15" customHeight="1">
      <c r="A201" s="949"/>
      <c r="B201" s="941"/>
      <c r="C201" s="941"/>
      <c r="D201" s="941"/>
      <c r="E201" s="941"/>
      <c r="F201" s="941"/>
      <c r="G201" s="915"/>
    </row>
    <row r="202" spans="1:7" ht="15" customHeight="1">
      <c r="A202" s="913"/>
      <c r="B202" s="949"/>
      <c r="C202" s="949"/>
      <c r="D202" s="949"/>
      <c r="E202" s="949"/>
      <c r="F202" s="949"/>
      <c r="G202" s="915"/>
    </row>
    <row r="203" spans="1:7" ht="15" customHeight="1">
      <c r="A203" s="934"/>
      <c r="B203" s="913"/>
      <c r="C203" s="913"/>
      <c r="D203" s="913"/>
      <c r="E203" s="913"/>
      <c r="F203" s="934"/>
      <c r="G203" s="915"/>
    </row>
    <row r="204" spans="1:7" ht="15" customHeight="1">
      <c r="A204" s="934"/>
      <c r="B204" s="950"/>
      <c r="C204" s="950"/>
      <c r="D204" s="950"/>
      <c r="E204" s="950"/>
      <c r="F204" s="915"/>
      <c r="G204" s="915"/>
    </row>
    <row r="205" spans="1:7" ht="15" customHeight="1">
      <c r="A205" s="934"/>
      <c r="B205" s="950"/>
      <c r="C205" s="950"/>
      <c r="D205" s="950"/>
      <c r="E205" s="950"/>
      <c r="F205" s="915"/>
      <c r="G205" s="915"/>
    </row>
    <row r="206" spans="1:7" ht="15" customHeight="1">
      <c r="A206" s="934"/>
      <c r="B206" s="950"/>
      <c r="C206" s="950"/>
      <c r="D206" s="950"/>
      <c r="E206" s="950"/>
      <c r="F206" s="915"/>
      <c r="G206" s="915"/>
    </row>
    <row r="207" spans="1:7" ht="15" customHeight="1">
      <c r="A207" s="934"/>
      <c r="B207" s="950"/>
      <c r="C207" s="950"/>
      <c r="D207" s="950"/>
      <c r="E207" s="950"/>
      <c r="F207" s="915"/>
      <c r="G207" s="915"/>
    </row>
    <row r="208" spans="1:7" ht="15" customHeight="1">
      <c r="A208" s="930"/>
      <c r="B208" s="950"/>
      <c r="C208" s="950"/>
      <c r="D208" s="950"/>
      <c r="E208" s="950"/>
      <c r="F208" s="915"/>
      <c r="G208" s="915"/>
    </row>
    <row r="209" spans="1:7" ht="15" customHeight="1">
      <c r="A209" s="950"/>
      <c r="B209" s="912"/>
      <c r="C209" s="912"/>
      <c r="D209" s="912"/>
      <c r="E209" s="912"/>
      <c r="F209" s="952"/>
      <c r="G209" s="915"/>
    </row>
    <row r="210" spans="1:7" ht="15" customHeight="1">
      <c r="A210" s="941"/>
      <c r="B210" s="950"/>
      <c r="C210" s="950"/>
      <c r="D210" s="950"/>
      <c r="E210" s="950"/>
      <c r="F210" s="950"/>
      <c r="G210" s="915"/>
    </row>
    <row r="211" spans="1:7" ht="15" customHeight="1">
      <c r="A211" s="949"/>
      <c r="B211" s="941"/>
      <c r="C211" s="941"/>
      <c r="D211" s="941"/>
      <c r="E211" s="941"/>
      <c r="F211" s="915"/>
      <c r="G211" s="915"/>
    </row>
    <row r="212" spans="1:7" ht="15" customHeight="1">
      <c r="A212" s="913"/>
      <c r="B212" s="949"/>
      <c r="C212" s="949"/>
      <c r="D212" s="949"/>
      <c r="E212" s="949"/>
      <c r="F212" s="915"/>
      <c r="G212" s="915"/>
    </row>
    <row r="213" spans="1:7" ht="15" customHeight="1">
      <c r="A213" s="934"/>
      <c r="B213" s="913"/>
      <c r="C213" s="913"/>
      <c r="D213" s="913"/>
      <c r="E213" s="913"/>
      <c r="F213" s="915"/>
      <c r="G213" s="915"/>
    </row>
    <row r="214" spans="1:7" ht="15" customHeight="1">
      <c r="A214" s="934"/>
      <c r="B214" s="950"/>
      <c r="C214" s="950"/>
      <c r="D214" s="950"/>
      <c r="E214" s="950"/>
      <c r="F214" s="915"/>
      <c r="G214" s="915"/>
    </row>
    <row r="215" spans="1:7" ht="15" customHeight="1">
      <c r="A215" s="934"/>
      <c r="B215" s="950"/>
      <c r="C215" s="950"/>
      <c r="D215" s="950"/>
      <c r="E215" s="950"/>
      <c r="F215" s="915"/>
      <c r="G215" s="915"/>
    </row>
    <row r="216" spans="1:7" ht="15" customHeight="1">
      <c r="A216" s="934"/>
      <c r="B216" s="950"/>
      <c r="C216" s="950"/>
      <c r="D216" s="950"/>
      <c r="E216" s="950"/>
      <c r="F216" s="915"/>
      <c r="G216" s="915"/>
    </row>
    <row r="217" spans="1:7" ht="15" customHeight="1">
      <c r="A217" s="930"/>
      <c r="B217" s="950"/>
      <c r="C217" s="950"/>
      <c r="D217" s="950"/>
      <c r="E217" s="950"/>
      <c r="F217" s="915"/>
      <c r="G217" s="915"/>
    </row>
    <row r="218" spans="1:7" ht="15" customHeight="1">
      <c r="A218" s="950"/>
      <c r="B218" s="912"/>
      <c r="C218" s="912"/>
      <c r="D218" s="912"/>
      <c r="E218" s="912"/>
      <c r="F218" s="915"/>
      <c r="G218" s="915"/>
    </row>
    <row r="219" spans="1:7" ht="15" customHeight="1">
      <c r="A219" s="941"/>
      <c r="B219" s="950"/>
      <c r="C219" s="950"/>
      <c r="D219" s="950"/>
      <c r="E219" s="950"/>
      <c r="F219" s="950"/>
      <c r="G219" s="915"/>
    </row>
    <row r="220" spans="1:7" ht="15" customHeight="1">
      <c r="A220" s="949"/>
      <c r="B220" s="941"/>
      <c r="C220" s="941"/>
      <c r="D220" s="941"/>
      <c r="E220" s="941"/>
      <c r="F220" s="941"/>
      <c r="G220" s="915"/>
    </row>
    <row r="221" spans="1:7" ht="15" customHeight="1">
      <c r="A221" s="913"/>
      <c r="B221" s="949"/>
      <c r="C221" s="949"/>
      <c r="D221" s="949"/>
      <c r="E221" s="949"/>
      <c r="F221" s="949"/>
      <c r="G221" s="915"/>
    </row>
    <row r="222" spans="1:7" ht="15" customHeight="1">
      <c r="A222" s="934"/>
      <c r="B222" s="913"/>
      <c r="C222" s="913"/>
      <c r="D222" s="913"/>
      <c r="E222" s="913"/>
      <c r="F222" s="934"/>
      <c r="G222" s="915"/>
    </row>
    <row r="223" spans="1:7" ht="15" customHeight="1">
      <c r="A223" s="934"/>
      <c r="B223" s="950"/>
      <c r="C223" s="950"/>
      <c r="D223" s="950"/>
      <c r="E223" s="950"/>
      <c r="F223" s="915"/>
      <c r="G223" s="915"/>
    </row>
    <row r="224" spans="1:7" ht="15" customHeight="1">
      <c r="A224" s="934"/>
      <c r="B224" s="950"/>
      <c r="C224" s="950"/>
      <c r="D224" s="950"/>
      <c r="E224" s="950"/>
      <c r="F224" s="915"/>
      <c r="G224" s="915"/>
    </row>
    <row r="225" spans="1:7" ht="15" customHeight="1">
      <c r="A225" s="934"/>
      <c r="B225" s="950"/>
      <c r="C225" s="950"/>
      <c r="D225" s="950"/>
      <c r="E225" s="950"/>
      <c r="F225" s="915"/>
      <c r="G225" s="915"/>
    </row>
    <row r="226" spans="1:7" ht="15" customHeight="1">
      <c r="A226" s="930"/>
      <c r="B226" s="950"/>
      <c r="C226" s="950"/>
      <c r="D226" s="950"/>
      <c r="E226" s="950"/>
      <c r="F226" s="915"/>
      <c r="G226" s="915"/>
    </row>
    <row r="227" spans="1:7" ht="15" customHeight="1">
      <c r="A227" s="950"/>
      <c r="B227" s="912"/>
      <c r="C227" s="912"/>
      <c r="D227" s="912"/>
      <c r="E227" s="912"/>
      <c r="F227" s="951"/>
      <c r="G227" s="915"/>
    </row>
    <row r="228" spans="1:7" ht="15" customHeight="1">
      <c r="A228" s="941"/>
      <c r="B228" s="950"/>
      <c r="C228" s="950"/>
      <c r="D228" s="950"/>
      <c r="E228" s="950"/>
      <c r="F228" s="950"/>
      <c r="G228" s="915"/>
    </row>
    <row r="229" spans="1:7" ht="15" customHeight="1">
      <c r="A229" s="949"/>
      <c r="B229" s="941"/>
      <c r="C229" s="941"/>
      <c r="D229" s="941"/>
      <c r="E229" s="941"/>
      <c r="F229" s="941"/>
      <c r="G229" s="915"/>
    </row>
    <row r="230" spans="1:7" ht="15" customHeight="1">
      <c r="A230" s="913"/>
      <c r="B230" s="949"/>
      <c r="C230" s="949"/>
      <c r="D230" s="949"/>
      <c r="E230" s="949"/>
      <c r="F230" s="949"/>
      <c r="G230" s="915"/>
    </row>
    <row r="231" spans="1:7" ht="15" customHeight="1">
      <c r="A231" s="934"/>
      <c r="B231" s="913"/>
      <c r="C231" s="913"/>
      <c r="D231" s="913"/>
      <c r="E231" s="913"/>
      <c r="F231" s="934"/>
      <c r="G231" s="915"/>
    </row>
    <row r="232" spans="1:7" ht="15" customHeight="1">
      <c r="A232" s="934"/>
      <c r="B232" s="950"/>
      <c r="C232" s="950"/>
      <c r="D232" s="950"/>
      <c r="E232" s="950"/>
      <c r="F232" s="915"/>
      <c r="G232" s="915"/>
    </row>
    <row r="233" spans="1:7" ht="15" customHeight="1">
      <c r="A233" s="934"/>
      <c r="B233" s="950"/>
      <c r="C233" s="950"/>
      <c r="D233" s="950"/>
      <c r="E233" s="950"/>
      <c r="F233" s="915"/>
      <c r="G233" s="915"/>
    </row>
    <row r="234" spans="1:7" ht="15" customHeight="1">
      <c r="A234" s="934"/>
      <c r="B234" s="950"/>
      <c r="C234" s="950"/>
      <c r="D234" s="950"/>
      <c r="E234" s="950"/>
      <c r="F234" s="915"/>
      <c r="G234" s="915"/>
    </row>
    <row r="235" spans="1:7" ht="15" customHeight="1">
      <c r="A235" s="930"/>
      <c r="B235" s="950"/>
      <c r="C235" s="950"/>
      <c r="D235" s="950"/>
      <c r="E235" s="950"/>
      <c r="F235" s="915"/>
      <c r="G235" s="915"/>
    </row>
    <row r="236" spans="1:7" ht="15" customHeight="1">
      <c r="A236" s="915"/>
      <c r="B236" s="912"/>
      <c r="C236" s="912"/>
      <c r="D236" s="912"/>
      <c r="E236" s="912"/>
      <c r="F236" s="951"/>
      <c r="G236" s="915"/>
    </row>
    <row r="237" spans="1:7" ht="15" customHeight="1">
      <c r="A237" s="921"/>
      <c r="B237" s="915"/>
      <c r="C237" s="915"/>
      <c r="D237" s="915"/>
      <c r="E237" s="915"/>
      <c r="F237" s="915"/>
      <c r="G237" s="915"/>
    </row>
    <row r="238" spans="1:7" ht="15" customHeight="1">
      <c r="A238" s="921"/>
      <c r="B238" s="921"/>
      <c r="C238" s="921"/>
      <c r="D238" s="921"/>
      <c r="E238" s="921"/>
      <c r="F238" s="921"/>
      <c r="G238" s="921"/>
    </row>
    <row r="239" spans="2:7" ht="15" customHeight="1">
      <c r="B239" s="921"/>
      <c r="C239" s="921"/>
      <c r="D239" s="921"/>
      <c r="E239" s="921"/>
      <c r="F239" s="921"/>
      <c r="G239" s="921"/>
    </row>
  </sheetData>
  <mergeCells count="34">
    <mergeCell ref="A187:G187"/>
    <mergeCell ref="A188:G188"/>
    <mergeCell ref="A179:G179"/>
    <mergeCell ref="A180:G180"/>
    <mergeCell ref="A185:G185"/>
    <mergeCell ref="A186:G186"/>
    <mergeCell ref="A175:G175"/>
    <mergeCell ref="A176:G176"/>
    <mergeCell ref="A177:G177"/>
    <mergeCell ref="A178:G178"/>
    <mergeCell ref="A160:G160"/>
    <mergeCell ref="A161:H161"/>
    <mergeCell ref="A162:H162"/>
    <mergeCell ref="A163:H163"/>
    <mergeCell ref="A133:G133"/>
    <mergeCell ref="A134:G134"/>
    <mergeCell ref="A135:G135"/>
    <mergeCell ref="A147:G147"/>
    <mergeCell ref="A93:I93"/>
    <mergeCell ref="A106:I106"/>
    <mergeCell ref="A119:G119"/>
    <mergeCell ref="A120:G120"/>
    <mergeCell ref="A65:G65"/>
    <mergeCell ref="A79:G79"/>
    <mergeCell ref="A80:G80"/>
    <mergeCell ref="A92:I92"/>
    <mergeCell ref="A4:D4"/>
    <mergeCell ref="A37:G37"/>
    <mergeCell ref="A38:G38"/>
    <mergeCell ref="A51:G51"/>
    <mergeCell ref="A1:B1"/>
    <mergeCell ref="C1:D1"/>
    <mergeCell ref="A2:D2"/>
    <mergeCell ref="A3:I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L66"/>
  <sheetViews>
    <sheetView workbookViewId="0" topLeftCell="A22">
      <selection activeCell="J47" sqref="J47"/>
    </sheetView>
  </sheetViews>
  <sheetFormatPr defaultColWidth="9.140625" defaultRowHeight="12.75"/>
  <cols>
    <col min="1" max="2" width="21.7109375" style="510" customWidth="1"/>
    <col min="3" max="3" width="13.140625" style="510" customWidth="1"/>
    <col min="4" max="5" width="5.7109375" style="510" customWidth="1"/>
    <col min="6" max="6" width="9.7109375" style="563" customWidth="1"/>
    <col min="7" max="7" width="9.7109375" style="510" customWidth="1"/>
    <col min="8" max="8" width="11.7109375" style="510" customWidth="1"/>
    <col min="9" max="9" width="23.7109375" style="510" customWidth="1"/>
    <col min="10" max="10" width="49.7109375" style="510" customWidth="1"/>
    <col min="11" max="11" width="25.00390625" style="510" customWidth="1"/>
    <col min="12" max="12" width="16.140625" style="510" customWidth="1"/>
    <col min="13" max="13" width="11.57421875" style="510" bestFit="1" customWidth="1"/>
    <col min="14" max="16384" width="9.140625" style="510" customWidth="1"/>
  </cols>
  <sheetData>
    <row r="1" spans="1:12" ht="30" customHeight="1">
      <c r="A1" s="1013" t="s">
        <v>485</v>
      </c>
      <c r="B1" s="1014"/>
      <c r="C1" s="1014"/>
      <c r="D1" s="1014"/>
      <c r="E1" s="1014"/>
      <c r="F1" s="1014"/>
      <c r="G1" s="1014"/>
      <c r="H1" s="1014"/>
      <c r="I1" s="1014"/>
      <c r="J1" s="1014"/>
      <c r="K1" s="543">
        <v>40070166</v>
      </c>
      <c r="L1" s="509"/>
    </row>
    <row r="2" spans="1:11" ht="76.5" customHeight="1">
      <c r="A2" s="1021" t="s">
        <v>411</v>
      </c>
      <c r="B2" s="1021"/>
      <c r="C2" s="1022"/>
      <c r="D2" s="1022"/>
      <c r="E2" s="1022"/>
      <c r="F2" s="1022"/>
      <c r="G2" s="1022"/>
      <c r="H2" s="1022"/>
      <c r="I2" s="1022"/>
      <c r="J2" s="1022"/>
      <c r="K2" s="1022"/>
    </row>
    <row r="3" spans="1:11" ht="15" customHeight="1">
      <c r="A3" s="979" t="s">
        <v>66</v>
      </c>
      <c r="B3" s="980"/>
      <c r="C3" s="544"/>
      <c r="D3" s="544"/>
      <c r="E3" s="545"/>
      <c r="F3" s="546"/>
      <c r="G3" s="545"/>
      <c r="H3" s="545"/>
      <c r="I3" s="545"/>
      <c r="J3" s="545"/>
      <c r="K3" s="545"/>
    </row>
    <row r="4" spans="1:11" ht="30" customHeight="1">
      <c r="A4" s="511" t="s">
        <v>332</v>
      </c>
      <c r="B4" s="511" t="s">
        <v>333</v>
      </c>
      <c r="C4" s="512" t="s">
        <v>36</v>
      </c>
      <c r="D4" s="512" t="s">
        <v>73</v>
      </c>
      <c r="E4" s="512" t="s">
        <v>74</v>
      </c>
      <c r="F4" s="512" t="s">
        <v>37</v>
      </c>
      <c r="G4" s="512" t="s">
        <v>38</v>
      </c>
      <c r="H4" s="512" t="s">
        <v>39</v>
      </c>
      <c r="I4" s="511" t="s">
        <v>55</v>
      </c>
      <c r="J4" s="511" t="s">
        <v>183</v>
      </c>
      <c r="K4" s="524" t="s">
        <v>184</v>
      </c>
    </row>
    <row r="5" spans="1:11" ht="15" customHeight="1">
      <c r="A5" s="784"/>
      <c r="B5" s="784"/>
      <c r="C5" s="581">
        <v>1</v>
      </c>
      <c r="D5" s="581">
        <v>1</v>
      </c>
      <c r="E5" s="581"/>
      <c r="F5" s="581"/>
      <c r="G5" s="581">
        <v>1</v>
      </c>
      <c r="H5" s="581">
        <v>2008</v>
      </c>
      <c r="I5" s="784"/>
      <c r="J5" s="575" t="s">
        <v>185</v>
      </c>
      <c r="K5" s="585">
        <v>2120</v>
      </c>
    </row>
    <row r="6" spans="1:11" ht="15" customHeight="1">
      <c r="A6" s="784"/>
      <c r="B6" s="784"/>
      <c r="C6" s="581">
        <v>1</v>
      </c>
      <c r="D6" s="581">
        <v>1</v>
      </c>
      <c r="E6" s="581"/>
      <c r="F6" s="581">
        <v>1</v>
      </c>
      <c r="G6" s="581"/>
      <c r="H6" s="581">
        <v>2000</v>
      </c>
      <c r="I6" s="784"/>
      <c r="J6" s="575" t="s">
        <v>186</v>
      </c>
      <c r="K6" s="585">
        <v>8760</v>
      </c>
    </row>
    <row r="7" spans="1:11" ht="15" customHeight="1">
      <c r="A7" s="784"/>
      <c r="B7" s="784"/>
      <c r="C7" s="581">
        <v>1</v>
      </c>
      <c r="D7" s="581">
        <v>1</v>
      </c>
      <c r="E7" s="581"/>
      <c r="F7" s="581">
        <v>1</v>
      </c>
      <c r="G7" s="581"/>
      <c r="H7" s="581"/>
      <c r="I7" s="784"/>
      <c r="J7" s="575" t="s">
        <v>187</v>
      </c>
      <c r="K7" s="585"/>
    </row>
    <row r="8" spans="1:11" s="520" customFormat="1" ht="15" customHeight="1">
      <c r="A8" s="965" t="s">
        <v>75</v>
      </c>
      <c r="B8" s="966"/>
      <c r="C8" s="547">
        <f>SUM(C5:C7)</f>
        <v>3</v>
      </c>
      <c r="D8" s="547">
        <f>SUM(D5:D7)</f>
        <v>3</v>
      </c>
      <c r="E8" s="547">
        <f>SUM(E5:E7)</f>
        <v>0</v>
      </c>
      <c r="F8" s="547">
        <f>SUM(F5:F7)</f>
        <v>2</v>
      </c>
      <c r="G8" s="547">
        <f>SUM(G5:G7)</f>
        <v>1</v>
      </c>
      <c r="H8" s="548"/>
      <c r="I8" s="549"/>
      <c r="J8" s="549"/>
      <c r="K8" s="550">
        <f>SUM(K5:K7)</f>
        <v>10880</v>
      </c>
    </row>
    <row r="9" spans="1:11" ht="15" customHeight="1">
      <c r="A9" s="979" t="s">
        <v>64</v>
      </c>
      <c r="B9" s="980"/>
      <c r="C9" s="545"/>
      <c r="D9" s="546"/>
      <c r="E9" s="545"/>
      <c r="F9" s="545"/>
      <c r="G9" s="545"/>
      <c r="H9" s="545"/>
      <c r="I9" s="544"/>
      <c r="J9" s="544"/>
      <c r="K9" s="551"/>
    </row>
    <row r="10" spans="1:11" ht="27.75" customHeight="1">
      <c r="A10" s="511" t="s">
        <v>332</v>
      </c>
      <c r="B10" s="511" t="s">
        <v>333</v>
      </c>
      <c r="C10" s="512" t="s">
        <v>36</v>
      </c>
      <c r="D10" s="512" t="s">
        <v>73</v>
      </c>
      <c r="E10" s="512" t="s">
        <v>74</v>
      </c>
      <c r="F10" s="512" t="s">
        <v>37</v>
      </c>
      <c r="G10" s="512" t="s">
        <v>38</v>
      </c>
      <c r="H10" s="512" t="s">
        <v>39</v>
      </c>
      <c r="I10" s="511" t="s">
        <v>55</v>
      </c>
      <c r="J10" s="511" t="s">
        <v>183</v>
      </c>
      <c r="K10" s="524" t="s">
        <v>184</v>
      </c>
    </row>
    <row r="11" spans="1:11" ht="15" customHeight="1">
      <c r="A11" s="784"/>
      <c r="B11" s="784"/>
      <c r="C11" s="580">
        <v>1</v>
      </c>
      <c r="D11" s="580">
        <v>1</v>
      </c>
      <c r="E11" s="580"/>
      <c r="F11" s="580">
        <v>1</v>
      </c>
      <c r="G11" s="580"/>
      <c r="H11" s="580">
        <v>2004</v>
      </c>
      <c r="I11" s="784"/>
      <c r="J11" s="575" t="s">
        <v>188</v>
      </c>
      <c r="K11" s="586">
        <v>4732</v>
      </c>
    </row>
    <row r="12" spans="1:11" ht="15" customHeight="1">
      <c r="A12" s="784"/>
      <c r="B12" s="784"/>
      <c r="C12" s="580">
        <v>1</v>
      </c>
      <c r="D12" s="580"/>
      <c r="E12" s="580">
        <v>1</v>
      </c>
      <c r="F12" s="580">
        <v>1</v>
      </c>
      <c r="G12" s="580"/>
      <c r="H12" s="580">
        <v>1996</v>
      </c>
      <c r="I12" s="784"/>
      <c r="J12" s="575" t="s">
        <v>189</v>
      </c>
      <c r="K12" s="586">
        <v>250</v>
      </c>
    </row>
    <row r="13" spans="1:11" ht="15" customHeight="1">
      <c r="A13" s="784"/>
      <c r="B13" s="784"/>
      <c r="C13" s="580">
        <v>1</v>
      </c>
      <c r="D13" s="580"/>
      <c r="E13" s="580">
        <v>1</v>
      </c>
      <c r="F13" s="580"/>
      <c r="G13" s="580">
        <v>1</v>
      </c>
      <c r="H13" s="580">
        <v>2002</v>
      </c>
      <c r="I13" s="784"/>
      <c r="J13" s="575" t="s">
        <v>189</v>
      </c>
      <c r="K13" s="586">
        <f>8293.92+50</f>
        <v>8343.92</v>
      </c>
    </row>
    <row r="14" spans="1:11" ht="15" customHeight="1">
      <c r="A14" s="784"/>
      <c r="B14" s="784"/>
      <c r="C14" s="580">
        <v>1</v>
      </c>
      <c r="D14" s="580">
        <v>1</v>
      </c>
      <c r="E14" s="580"/>
      <c r="F14" s="580"/>
      <c r="G14" s="580">
        <v>1</v>
      </c>
      <c r="H14" s="580">
        <v>2003</v>
      </c>
      <c r="I14" s="784"/>
      <c r="J14" s="575" t="s">
        <v>186</v>
      </c>
      <c r="K14" s="586">
        <v>6192</v>
      </c>
    </row>
    <row r="15" spans="1:11" ht="15" customHeight="1">
      <c r="A15" s="784"/>
      <c r="B15" s="784"/>
      <c r="C15" s="580">
        <v>1</v>
      </c>
      <c r="D15" s="580"/>
      <c r="E15" s="580">
        <v>1</v>
      </c>
      <c r="F15" s="580">
        <v>1</v>
      </c>
      <c r="G15" s="580"/>
      <c r="H15" s="580">
        <v>1999</v>
      </c>
      <c r="I15" s="784"/>
      <c r="J15" s="575" t="s">
        <v>186</v>
      </c>
      <c r="K15" s="586">
        <v>8876</v>
      </c>
    </row>
    <row r="16" spans="1:11" ht="15" customHeight="1">
      <c r="A16" s="784"/>
      <c r="B16" s="784"/>
      <c r="C16" s="580">
        <v>1</v>
      </c>
      <c r="D16" s="580"/>
      <c r="E16" s="580">
        <v>1</v>
      </c>
      <c r="F16" s="580">
        <v>1</v>
      </c>
      <c r="G16" s="580"/>
      <c r="H16" s="580">
        <v>1994</v>
      </c>
      <c r="I16" s="784"/>
      <c r="J16" s="575" t="s">
        <v>190</v>
      </c>
      <c r="K16" s="586" t="s">
        <v>191</v>
      </c>
    </row>
    <row r="17" spans="1:11" ht="15" customHeight="1">
      <c r="A17" s="784"/>
      <c r="B17" s="784"/>
      <c r="C17" s="580">
        <v>1</v>
      </c>
      <c r="D17" s="580"/>
      <c r="E17" s="580">
        <v>1</v>
      </c>
      <c r="F17" s="580">
        <v>1</v>
      </c>
      <c r="G17" s="580"/>
      <c r="H17" s="580">
        <v>1998</v>
      </c>
      <c r="I17" s="784"/>
      <c r="J17" s="575" t="s">
        <v>186</v>
      </c>
      <c r="K17" s="586">
        <v>8592</v>
      </c>
    </row>
    <row r="18" spans="1:11" s="520" customFormat="1" ht="15" customHeight="1">
      <c r="A18" s="965" t="s">
        <v>8</v>
      </c>
      <c r="B18" s="966"/>
      <c r="C18" s="547">
        <f>SUM(C11:C17)</f>
        <v>7</v>
      </c>
      <c r="D18" s="547">
        <f>SUM(D11:D17)</f>
        <v>2</v>
      </c>
      <c r="E18" s="547">
        <f>SUM(E11:E17)</f>
        <v>5</v>
      </c>
      <c r="F18" s="547">
        <f>SUM(F11:F17)</f>
        <v>5</v>
      </c>
      <c r="G18" s="547">
        <f>SUM(G11:G17)</f>
        <v>2</v>
      </c>
      <c r="H18" s="547"/>
      <c r="I18" s="552"/>
      <c r="J18" s="552"/>
      <c r="K18" s="550">
        <f>SUM(K10:K17)</f>
        <v>36985.92</v>
      </c>
    </row>
    <row r="19" spans="1:11" ht="15" customHeight="1">
      <c r="A19" s="979" t="s">
        <v>575</v>
      </c>
      <c r="B19" s="980"/>
      <c r="C19" s="544"/>
      <c r="D19" s="544"/>
      <c r="E19" s="545"/>
      <c r="F19" s="546"/>
      <c r="G19" s="545"/>
      <c r="H19" s="545"/>
      <c r="I19" s="545"/>
      <c r="J19" s="545"/>
      <c r="K19" s="545"/>
    </row>
    <row r="20" spans="1:11" ht="30" customHeight="1">
      <c r="A20" s="511" t="s">
        <v>332</v>
      </c>
      <c r="B20" s="511" t="s">
        <v>333</v>
      </c>
      <c r="C20" s="512" t="s">
        <v>36</v>
      </c>
      <c r="D20" s="512" t="s">
        <v>73</v>
      </c>
      <c r="E20" s="512" t="s">
        <v>74</v>
      </c>
      <c r="F20" s="512" t="s">
        <v>37</v>
      </c>
      <c r="G20" s="512" t="s">
        <v>38</v>
      </c>
      <c r="H20" s="512" t="s">
        <v>39</v>
      </c>
      <c r="I20" s="511" t="s">
        <v>55</v>
      </c>
      <c r="J20" s="511" t="s">
        <v>183</v>
      </c>
      <c r="K20" s="524" t="s">
        <v>184</v>
      </c>
    </row>
    <row r="21" spans="1:11" s="520" customFormat="1" ht="15" customHeight="1">
      <c r="A21" s="965" t="s">
        <v>576</v>
      </c>
      <c r="B21" s="966"/>
      <c r="C21" s="547">
        <v>0</v>
      </c>
      <c r="D21" s="547">
        <v>0</v>
      </c>
      <c r="E21" s="547">
        <v>0</v>
      </c>
      <c r="F21" s="547">
        <v>0</v>
      </c>
      <c r="G21" s="547">
        <v>0</v>
      </c>
      <c r="H21" s="548"/>
      <c r="I21" s="549"/>
      <c r="J21" s="549"/>
      <c r="K21" s="550">
        <v>0</v>
      </c>
    </row>
    <row r="22" spans="1:11" ht="15" customHeight="1">
      <c r="A22" s="979" t="s">
        <v>68</v>
      </c>
      <c r="B22" s="980"/>
      <c r="C22" s="544"/>
      <c r="D22" s="544"/>
      <c r="E22" s="545"/>
      <c r="F22" s="546"/>
      <c r="G22" s="545"/>
      <c r="H22" s="545"/>
      <c r="I22" s="545"/>
      <c r="J22" s="545"/>
      <c r="K22" s="545"/>
    </row>
    <row r="23" spans="1:11" ht="30" customHeight="1">
      <c r="A23" s="511" t="s">
        <v>332</v>
      </c>
      <c r="B23" s="511" t="s">
        <v>333</v>
      </c>
      <c r="C23" s="512" t="s">
        <v>36</v>
      </c>
      <c r="D23" s="512" t="s">
        <v>73</v>
      </c>
      <c r="E23" s="512" t="s">
        <v>74</v>
      </c>
      <c r="F23" s="512" t="s">
        <v>37</v>
      </c>
      <c r="G23" s="512" t="s">
        <v>38</v>
      </c>
      <c r="H23" s="512" t="s">
        <v>39</v>
      </c>
      <c r="I23" s="511" t="s">
        <v>55</v>
      </c>
      <c r="J23" s="511" t="s">
        <v>183</v>
      </c>
      <c r="K23" s="524" t="s">
        <v>184</v>
      </c>
    </row>
    <row r="24" spans="1:11" s="520" customFormat="1" ht="15" customHeight="1">
      <c r="A24" s="965" t="s">
        <v>478</v>
      </c>
      <c r="B24" s="966"/>
      <c r="C24" s="547">
        <v>0</v>
      </c>
      <c r="D24" s="547">
        <v>0</v>
      </c>
      <c r="E24" s="547">
        <v>0</v>
      </c>
      <c r="F24" s="547">
        <v>0</v>
      </c>
      <c r="G24" s="547">
        <v>0</v>
      </c>
      <c r="H24" s="548"/>
      <c r="I24" s="549"/>
      <c r="J24" s="549"/>
      <c r="K24" s="550">
        <v>0</v>
      </c>
    </row>
    <row r="25" spans="1:11" ht="15" customHeight="1">
      <c r="A25" s="979" t="s">
        <v>65</v>
      </c>
      <c r="B25" s="980"/>
      <c r="C25" s="544"/>
      <c r="D25" s="544"/>
      <c r="E25" s="545"/>
      <c r="F25" s="546"/>
      <c r="G25" s="545"/>
      <c r="H25" s="545"/>
      <c r="I25" s="545"/>
      <c r="J25" s="545"/>
      <c r="K25" s="545"/>
    </row>
    <row r="26" spans="1:11" ht="30" customHeight="1">
      <c r="A26" s="511" t="s">
        <v>332</v>
      </c>
      <c r="B26" s="511" t="s">
        <v>333</v>
      </c>
      <c r="C26" s="512" t="s">
        <v>36</v>
      </c>
      <c r="D26" s="512" t="s">
        <v>73</v>
      </c>
      <c r="E26" s="512" t="s">
        <v>74</v>
      </c>
      <c r="F26" s="512" t="s">
        <v>37</v>
      </c>
      <c r="G26" s="512" t="s">
        <v>38</v>
      </c>
      <c r="H26" s="512" t="s">
        <v>39</v>
      </c>
      <c r="I26" s="511" t="s">
        <v>55</v>
      </c>
      <c r="J26" s="511" t="s">
        <v>183</v>
      </c>
      <c r="K26" s="524" t="s">
        <v>184</v>
      </c>
    </row>
    <row r="27" spans="1:11" s="520" customFormat="1" ht="15" customHeight="1">
      <c r="A27" s="965" t="s">
        <v>340</v>
      </c>
      <c r="B27" s="966"/>
      <c r="C27" s="547">
        <v>0</v>
      </c>
      <c r="D27" s="547">
        <v>0</v>
      </c>
      <c r="E27" s="547">
        <v>0</v>
      </c>
      <c r="F27" s="547">
        <v>0</v>
      </c>
      <c r="G27" s="547">
        <v>0</v>
      </c>
      <c r="H27" s="548"/>
      <c r="I27" s="549"/>
      <c r="J27" s="549"/>
      <c r="K27" s="550">
        <v>0</v>
      </c>
    </row>
    <row r="28" spans="1:11" ht="15" customHeight="1">
      <c r="A28" s="979" t="s">
        <v>69</v>
      </c>
      <c r="B28" s="980"/>
      <c r="C28" s="545"/>
      <c r="D28" s="546"/>
      <c r="E28" s="545"/>
      <c r="F28" s="545"/>
      <c r="G28" s="545"/>
      <c r="H28" s="545"/>
      <c r="I28" s="544"/>
      <c r="J28" s="544"/>
      <c r="K28" s="551"/>
    </row>
    <row r="29" spans="1:12" ht="27.75" customHeight="1">
      <c r="A29" s="511" t="s">
        <v>332</v>
      </c>
      <c r="B29" s="511" t="s">
        <v>333</v>
      </c>
      <c r="C29" s="512" t="s">
        <v>36</v>
      </c>
      <c r="D29" s="512" t="s">
        <v>73</v>
      </c>
      <c r="E29" s="512" t="s">
        <v>74</v>
      </c>
      <c r="F29" s="512" t="s">
        <v>37</v>
      </c>
      <c r="G29" s="512" t="s">
        <v>38</v>
      </c>
      <c r="H29" s="512" t="s">
        <v>39</v>
      </c>
      <c r="I29" s="511" t="s">
        <v>55</v>
      </c>
      <c r="J29" s="511" t="s">
        <v>183</v>
      </c>
      <c r="K29" s="524" t="s">
        <v>184</v>
      </c>
      <c r="L29" s="586"/>
    </row>
    <row r="30" spans="1:11" ht="15" customHeight="1">
      <c r="A30" s="784"/>
      <c r="B30" s="784"/>
      <c r="C30" s="580">
        <v>1</v>
      </c>
      <c r="D30" s="580"/>
      <c r="E30" s="580">
        <v>1</v>
      </c>
      <c r="F30" s="580">
        <v>1</v>
      </c>
      <c r="G30" s="580"/>
      <c r="H30" s="580">
        <v>1995</v>
      </c>
      <c r="I30" s="784"/>
      <c r="J30" s="575" t="s">
        <v>186</v>
      </c>
      <c r="K30" s="586">
        <v>12000</v>
      </c>
    </row>
    <row r="31" spans="1:11" ht="15" customHeight="1">
      <c r="A31" s="784"/>
      <c r="B31" s="784"/>
      <c r="C31" s="580">
        <v>1</v>
      </c>
      <c r="D31" s="580">
        <v>1</v>
      </c>
      <c r="E31" s="580"/>
      <c r="F31" s="580"/>
      <c r="G31" s="580">
        <v>1</v>
      </c>
      <c r="H31" s="580">
        <v>2000</v>
      </c>
      <c r="I31" s="784"/>
      <c r="J31" s="575" t="s">
        <v>192</v>
      </c>
      <c r="K31" s="586">
        <v>3750</v>
      </c>
    </row>
    <row r="32" spans="1:11" s="520" customFormat="1" ht="15" customHeight="1">
      <c r="A32" s="965" t="s">
        <v>13</v>
      </c>
      <c r="B32" s="966"/>
      <c r="C32" s="553">
        <v>2</v>
      </c>
      <c r="D32" s="526">
        <v>1</v>
      </c>
      <c r="E32" s="526">
        <v>1</v>
      </c>
      <c r="F32" s="526">
        <v>1</v>
      </c>
      <c r="G32" s="526">
        <v>1</v>
      </c>
      <c r="H32" s="554"/>
      <c r="I32" s="549"/>
      <c r="J32" s="552"/>
      <c r="K32" s="550">
        <f>SUM(K30:K31)</f>
        <v>15750</v>
      </c>
    </row>
    <row r="33" spans="1:11" ht="15" customHeight="1">
      <c r="A33" s="979" t="s">
        <v>70</v>
      </c>
      <c r="B33" s="980"/>
      <c r="C33" s="544"/>
      <c r="D33" s="544"/>
      <c r="E33" s="545"/>
      <c r="F33" s="546"/>
      <c r="G33" s="545"/>
      <c r="H33" s="545"/>
      <c r="I33" s="545"/>
      <c r="J33" s="545"/>
      <c r="K33" s="545"/>
    </row>
    <row r="34" spans="1:11" ht="30" customHeight="1">
      <c r="A34" s="511" t="s">
        <v>332</v>
      </c>
      <c r="B34" s="511" t="s">
        <v>333</v>
      </c>
      <c r="C34" s="512" t="s">
        <v>36</v>
      </c>
      <c r="D34" s="512" t="s">
        <v>73</v>
      </c>
      <c r="E34" s="512" t="s">
        <v>74</v>
      </c>
      <c r="F34" s="512" t="s">
        <v>37</v>
      </c>
      <c r="G34" s="512" t="s">
        <v>38</v>
      </c>
      <c r="H34" s="512" t="s">
        <v>39</v>
      </c>
      <c r="I34" s="511" t="s">
        <v>55</v>
      </c>
      <c r="J34" s="511" t="s">
        <v>183</v>
      </c>
      <c r="K34" s="524" t="s">
        <v>184</v>
      </c>
    </row>
    <row r="35" spans="1:11" s="520" customFormat="1" ht="15" customHeight="1">
      <c r="A35" s="965" t="s">
        <v>341</v>
      </c>
      <c r="B35" s="966"/>
      <c r="C35" s="547">
        <v>0</v>
      </c>
      <c r="D35" s="547">
        <v>0</v>
      </c>
      <c r="E35" s="547">
        <v>0</v>
      </c>
      <c r="F35" s="547">
        <v>0</v>
      </c>
      <c r="G35" s="547">
        <v>0</v>
      </c>
      <c r="H35" s="548"/>
      <c r="I35" s="549"/>
      <c r="J35" s="549"/>
      <c r="K35" s="550">
        <v>0</v>
      </c>
    </row>
    <row r="36" spans="1:11" ht="15" customHeight="1">
      <c r="A36" s="979" t="s">
        <v>71</v>
      </c>
      <c r="B36" s="980"/>
      <c r="C36" s="544"/>
      <c r="D36" s="544"/>
      <c r="E36" s="545"/>
      <c r="F36" s="546"/>
      <c r="G36" s="545"/>
      <c r="H36" s="545"/>
      <c r="I36" s="545"/>
      <c r="J36" s="545"/>
      <c r="K36" s="545"/>
    </row>
    <row r="37" spans="1:11" ht="30" customHeight="1">
      <c r="A37" s="511" t="s">
        <v>332</v>
      </c>
      <c r="B37" s="511" t="s">
        <v>333</v>
      </c>
      <c r="C37" s="512" t="s">
        <v>36</v>
      </c>
      <c r="D37" s="512" t="s">
        <v>73</v>
      </c>
      <c r="E37" s="512" t="s">
        <v>74</v>
      </c>
      <c r="F37" s="512" t="s">
        <v>37</v>
      </c>
      <c r="G37" s="512" t="s">
        <v>38</v>
      </c>
      <c r="H37" s="512" t="s">
        <v>39</v>
      </c>
      <c r="I37" s="511" t="s">
        <v>55</v>
      </c>
      <c r="J37" s="511" t="s">
        <v>183</v>
      </c>
      <c r="K37" s="524" t="s">
        <v>184</v>
      </c>
    </row>
    <row r="38" spans="1:11" s="520" customFormat="1" ht="15" customHeight="1">
      <c r="A38" s="965" t="s">
        <v>22</v>
      </c>
      <c r="B38" s="966"/>
      <c r="C38" s="547">
        <v>0</v>
      </c>
      <c r="D38" s="547">
        <v>0</v>
      </c>
      <c r="E38" s="547">
        <v>0</v>
      </c>
      <c r="F38" s="547">
        <v>0</v>
      </c>
      <c r="G38" s="547">
        <v>0</v>
      </c>
      <c r="H38" s="548"/>
      <c r="I38" s="549"/>
      <c r="J38" s="549"/>
      <c r="K38" s="550">
        <v>0</v>
      </c>
    </row>
    <row r="39" spans="1:11" ht="15" customHeight="1">
      <c r="A39" s="979" t="s">
        <v>72</v>
      </c>
      <c r="B39" s="980"/>
      <c r="C39" s="545"/>
      <c r="D39" s="545"/>
      <c r="E39" s="545"/>
      <c r="F39" s="545"/>
      <c r="G39" s="545"/>
      <c r="H39" s="545"/>
      <c r="I39" s="555"/>
      <c r="J39" s="555"/>
      <c r="K39" s="551"/>
    </row>
    <row r="40" spans="1:11" ht="27.75" customHeight="1">
      <c r="A40" s="511" t="s">
        <v>332</v>
      </c>
      <c r="B40" s="511" t="s">
        <v>333</v>
      </c>
      <c r="C40" s="512" t="s">
        <v>36</v>
      </c>
      <c r="D40" s="512" t="s">
        <v>73</v>
      </c>
      <c r="E40" s="512" t="s">
        <v>74</v>
      </c>
      <c r="F40" s="512" t="s">
        <v>37</v>
      </c>
      <c r="G40" s="512" t="s">
        <v>38</v>
      </c>
      <c r="H40" s="512" t="s">
        <v>39</v>
      </c>
      <c r="I40" s="511" t="s">
        <v>55</v>
      </c>
      <c r="J40" s="511" t="s">
        <v>183</v>
      </c>
      <c r="K40" s="524" t="s">
        <v>184</v>
      </c>
    </row>
    <row r="41" spans="1:11" ht="15" customHeight="1">
      <c r="A41" s="784"/>
      <c r="B41" s="784"/>
      <c r="C41" s="580">
        <v>2</v>
      </c>
      <c r="D41" s="580"/>
      <c r="E41" s="580">
        <v>2</v>
      </c>
      <c r="F41" s="580">
        <v>2</v>
      </c>
      <c r="G41" s="580"/>
      <c r="H41" s="580">
        <v>1998</v>
      </c>
      <c r="I41" s="784"/>
      <c r="J41" s="575" t="s">
        <v>193</v>
      </c>
      <c r="K41" s="586">
        <v>1500</v>
      </c>
    </row>
    <row r="42" spans="1:11" ht="15" customHeight="1">
      <c r="A42" s="784"/>
      <c r="B42" s="784"/>
      <c r="C42" s="580">
        <v>1</v>
      </c>
      <c r="D42" s="580"/>
      <c r="E42" s="580">
        <v>1</v>
      </c>
      <c r="F42" s="580">
        <v>1</v>
      </c>
      <c r="G42" s="580"/>
      <c r="H42" s="580">
        <v>1994</v>
      </c>
      <c r="I42" s="784"/>
      <c r="J42" s="575" t="s">
        <v>186</v>
      </c>
      <c r="K42" s="586">
        <v>6742</v>
      </c>
    </row>
    <row r="43" spans="1:11" ht="15" customHeight="1">
      <c r="A43" s="784"/>
      <c r="B43" s="784"/>
      <c r="C43" s="580">
        <v>2</v>
      </c>
      <c r="D43" s="580">
        <v>1</v>
      </c>
      <c r="E43" s="580">
        <v>1</v>
      </c>
      <c r="F43" s="580"/>
      <c r="G43" s="580">
        <v>2</v>
      </c>
      <c r="H43" s="575" t="s">
        <v>194</v>
      </c>
      <c r="I43" s="784"/>
      <c r="J43" s="580" t="s">
        <v>187</v>
      </c>
      <c r="K43" s="586">
        <v>774</v>
      </c>
    </row>
    <row r="44" spans="1:11" s="520" customFormat="1" ht="15" customHeight="1">
      <c r="A44" s="965" t="s">
        <v>328</v>
      </c>
      <c r="B44" s="966"/>
      <c r="C44" s="553">
        <f>SUM(C41:C43)</f>
        <v>5</v>
      </c>
      <c r="D44" s="526">
        <v>1</v>
      </c>
      <c r="E44" s="526">
        <v>4</v>
      </c>
      <c r="F44" s="526">
        <v>3</v>
      </c>
      <c r="G44" s="526">
        <v>2</v>
      </c>
      <c r="H44" s="554"/>
      <c r="I44" s="552"/>
      <c r="J44" s="552"/>
      <c r="K44" s="550">
        <f>SUM(K41:K43)</f>
        <v>9016</v>
      </c>
    </row>
    <row r="45" spans="1:11" s="520" customFormat="1" ht="15" customHeight="1">
      <c r="A45" s="955" t="s">
        <v>227</v>
      </c>
      <c r="B45" s="956"/>
      <c r="C45" s="556">
        <f>SUM(C44,C32,C18,C8,)</f>
        <v>17</v>
      </c>
      <c r="D45" s="556">
        <f>SUM(D44,D32,D18,D8,)</f>
        <v>7</v>
      </c>
      <c r="E45" s="556">
        <f>SUM(E44,E32,E18,E8,)</f>
        <v>10</v>
      </c>
      <c r="F45" s="556">
        <f>SUM(F44,F32,F18,F8,)</f>
        <v>11</v>
      </c>
      <c r="G45" s="556">
        <f>SUM(G44,G32,G18,G8,)</f>
        <v>6</v>
      </c>
      <c r="H45" s="526"/>
      <c r="I45" s="557"/>
      <c r="J45" s="557"/>
      <c r="K45" s="558">
        <f>K8+K18+K32+K44</f>
        <v>72631.92</v>
      </c>
    </row>
    <row r="46" spans="1:11" ht="24" customHeight="1">
      <c r="A46" s="953"/>
      <c r="B46" s="953"/>
      <c r="C46" s="953"/>
      <c r="D46" s="953"/>
      <c r="E46" s="953"/>
      <c r="F46" s="953"/>
      <c r="G46" s="953"/>
      <c r="H46" s="953"/>
      <c r="I46" s="953"/>
      <c r="J46" s="953"/>
      <c r="K46" s="953"/>
    </row>
    <row r="47" spans="1:11" ht="48.75" customHeight="1">
      <c r="A47" s="961" t="s">
        <v>195</v>
      </c>
      <c r="B47" s="962"/>
      <c r="C47" s="512" t="s">
        <v>196</v>
      </c>
      <c r="D47" s="963" t="s">
        <v>197</v>
      </c>
      <c r="E47" s="964"/>
      <c r="F47" s="954"/>
      <c r="G47" s="511" t="s">
        <v>198</v>
      </c>
      <c r="H47" s="511" t="s">
        <v>484</v>
      </c>
      <c r="I47" s="511" t="s">
        <v>199</v>
      </c>
      <c r="J47" s="559"/>
      <c r="K47" s="559"/>
    </row>
    <row r="48" spans="1:11" ht="15" customHeight="1">
      <c r="A48" s="957" t="s">
        <v>200</v>
      </c>
      <c r="B48" s="958"/>
      <c r="C48" s="560">
        <v>11</v>
      </c>
      <c r="D48" s="977" t="s">
        <v>201</v>
      </c>
      <c r="E48" s="977"/>
      <c r="F48" s="977"/>
      <c r="G48" s="561"/>
      <c r="H48" s="562">
        <v>11</v>
      </c>
      <c r="I48" s="562"/>
      <c r="J48" s="559"/>
      <c r="K48" s="559"/>
    </row>
    <row r="49" spans="1:11" ht="15" customHeight="1">
      <c r="A49" s="957" t="s">
        <v>202</v>
      </c>
      <c r="B49" s="958"/>
      <c r="C49" s="560">
        <v>8</v>
      </c>
      <c r="D49" s="977" t="s">
        <v>201</v>
      </c>
      <c r="E49" s="977"/>
      <c r="F49" s="977"/>
      <c r="G49" s="564">
        <v>1</v>
      </c>
      <c r="H49" s="560">
        <v>4</v>
      </c>
      <c r="I49" s="560" t="s">
        <v>203</v>
      </c>
      <c r="J49" s="559"/>
      <c r="K49" s="559"/>
    </row>
    <row r="50" spans="1:9" ht="28.5" customHeight="1">
      <c r="A50" s="959" t="s">
        <v>204</v>
      </c>
      <c r="B50" s="960"/>
      <c r="C50" s="560">
        <v>31</v>
      </c>
      <c r="D50" s="977" t="s">
        <v>201</v>
      </c>
      <c r="E50" s="977"/>
      <c r="F50" s="977"/>
      <c r="G50" s="564">
        <v>5</v>
      </c>
      <c r="H50" s="560">
        <v>4</v>
      </c>
      <c r="I50" s="560" t="s">
        <v>203</v>
      </c>
    </row>
    <row r="51" spans="1:9" ht="15" customHeight="1">
      <c r="A51" s="972" t="s">
        <v>46</v>
      </c>
      <c r="B51" s="976"/>
      <c r="C51" s="560">
        <v>18</v>
      </c>
      <c r="D51" s="977" t="s">
        <v>201</v>
      </c>
      <c r="E51" s="977"/>
      <c r="F51" s="977"/>
      <c r="G51" s="564"/>
      <c r="H51" s="560"/>
      <c r="I51" s="560"/>
    </row>
    <row r="52" spans="1:9" ht="15" customHeight="1">
      <c r="A52" s="972" t="s">
        <v>47</v>
      </c>
      <c r="B52" s="976"/>
      <c r="C52" s="560">
        <v>13</v>
      </c>
      <c r="D52" s="977" t="s">
        <v>201</v>
      </c>
      <c r="E52" s="977"/>
      <c r="F52" s="977"/>
      <c r="G52" s="564"/>
      <c r="H52" s="560"/>
      <c r="I52" s="560"/>
    </row>
    <row r="53" spans="1:9" ht="15" customHeight="1">
      <c r="A53" s="972" t="s">
        <v>48</v>
      </c>
      <c r="B53" s="976"/>
      <c r="C53" s="560">
        <v>11</v>
      </c>
      <c r="D53" s="977" t="s">
        <v>201</v>
      </c>
      <c r="E53" s="977"/>
      <c r="F53" s="977"/>
      <c r="G53" s="564"/>
      <c r="H53" s="560"/>
      <c r="I53" s="560"/>
    </row>
    <row r="54" spans="1:9" ht="15" customHeight="1">
      <c r="A54" s="972" t="s">
        <v>49</v>
      </c>
      <c r="B54" s="976"/>
      <c r="C54" s="560">
        <v>1</v>
      </c>
      <c r="D54" s="977" t="s">
        <v>201</v>
      </c>
      <c r="E54" s="977"/>
      <c r="F54" s="977"/>
      <c r="G54" s="564"/>
      <c r="H54" s="560">
        <v>7</v>
      </c>
      <c r="I54" s="560"/>
    </row>
    <row r="55" spans="1:9" ht="15" customHeight="1">
      <c r="A55" s="1018" t="s">
        <v>227</v>
      </c>
      <c r="B55" s="1019"/>
      <c r="C55" s="502">
        <f>SUM(C48:C54)</f>
        <v>93</v>
      </c>
      <c r="D55" s="974"/>
      <c r="E55" s="974"/>
      <c r="F55" s="974"/>
      <c r="G55" s="502">
        <f>SUM(G48:G54)</f>
        <v>6</v>
      </c>
      <c r="H55" s="502">
        <f>SUM(H48:H54)</f>
        <v>26</v>
      </c>
      <c r="I55" s="502"/>
    </row>
    <row r="56" spans="1:9" ht="24" customHeight="1">
      <c r="A56" s="975"/>
      <c r="B56" s="975"/>
      <c r="C56" s="975"/>
      <c r="D56" s="975"/>
      <c r="E56" s="975"/>
      <c r="F56" s="975"/>
      <c r="G56" s="975"/>
      <c r="H56" s="975"/>
      <c r="I56" s="975"/>
    </row>
    <row r="57" spans="1:7" ht="24" customHeight="1">
      <c r="A57" s="968" t="s">
        <v>205</v>
      </c>
      <c r="B57" s="969"/>
      <c r="C57" s="969"/>
      <c r="D57" s="969"/>
      <c r="E57" s="969"/>
      <c r="F57" s="969"/>
      <c r="G57" s="970"/>
    </row>
    <row r="58" spans="1:7" ht="15" customHeight="1">
      <c r="A58" s="971" t="s">
        <v>206</v>
      </c>
      <c r="B58" s="971"/>
      <c r="C58" s="971"/>
      <c r="D58" s="971"/>
      <c r="E58" s="971"/>
      <c r="F58" s="971"/>
      <c r="G58" s="560">
        <v>6</v>
      </c>
    </row>
    <row r="59" spans="1:7" ht="15" customHeight="1">
      <c r="A59" s="971" t="s">
        <v>207</v>
      </c>
      <c r="B59" s="971"/>
      <c r="C59" s="971"/>
      <c r="D59" s="971"/>
      <c r="E59" s="971"/>
      <c r="F59" s="971"/>
      <c r="G59" s="560">
        <v>11</v>
      </c>
    </row>
    <row r="60" spans="1:7" ht="15" customHeight="1">
      <c r="A60" s="971" t="s">
        <v>208</v>
      </c>
      <c r="B60" s="971"/>
      <c r="C60" s="971"/>
      <c r="D60" s="971"/>
      <c r="E60" s="971"/>
      <c r="F60" s="971"/>
      <c r="G60" s="560">
        <v>10</v>
      </c>
    </row>
    <row r="61" spans="1:7" ht="15" customHeight="1">
      <c r="A61" s="1018" t="s">
        <v>227</v>
      </c>
      <c r="B61" s="967"/>
      <c r="C61" s="587"/>
      <c r="D61" s="587"/>
      <c r="E61" s="587"/>
      <c r="F61" s="588"/>
      <c r="G61" s="502">
        <v>27</v>
      </c>
    </row>
    <row r="62" spans="1:7" ht="24" customHeight="1">
      <c r="A62" s="968" t="s">
        <v>209</v>
      </c>
      <c r="B62" s="969"/>
      <c r="C62" s="969"/>
      <c r="D62" s="969"/>
      <c r="E62" s="969"/>
      <c r="F62" s="969"/>
      <c r="G62" s="970"/>
    </row>
    <row r="63" spans="1:7" ht="15" customHeight="1">
      <c r="A63" s="972" t="s">
        <v>50</v>
      </c>
      <c r="B63" s="973"/>
      <c r="C63" s="973"/>
      <c r="D63" s="973"/>
      <c r="E63" s="973"/>
      <c r="F63" s="973"/>
      <c r="G63" s="560">
        <v>26</v>
      </c>
    </row>
    <row r="64" spans="1:7" ht="15" customHeight="1">
      <c r="A64" s="972" t="s">
        <v>210</v>
      </c>
      <c r="B64" s="973"/>
      <c r="C64" s="973"/>
      <c r="D64" s="973"/>
      <c r="E64" s="973"/>
      <c r="F64" s="973"/>
      <c r="G64" s="560">
        <v>3</v>
      </c>
    </row>
    <row r="65" spans="1:7" ht="15" customHeight="1">
      <c r="A65" s="972" t="s">
        <v>211</v>
      </c>
      <c r="B65" s="973"/>
      <c r="C65" s="973"/>
      <c r="D65" s="973"/>
      <c r="E65" s="973"/>
      <c r="F65" s="973"/>
      <c r="G65" s="560">
        <v>32</v>
      </c>
    </row>
    <row r="66" spans="1:7" ht="15" customHeight="1">
      <c r="A66" s="1018" t="s">
        <v>227</v>
      </c>
      <c r="B66" s="967"/>
      <c r="C66" s="587"/>
      <c r="D66" s="587"/>
      <c r="E66" s="587"/>
      <c r="F66" s="588"/>
      <c r="G66" s="502">
        <f>SUM(G63:G65)</f>
        <v>61</v>
      </c>
    </row>
  </sheetData>
  <mergeCells count="51">
    <mergeCell ref="A1:J1"/>
    <mergeCell ref="A2:K2"/>
    <mergeCell ref="A3:B3"/>
    <mergeCell ref="A8:B8"/>
    <mergeCell ref="A9:B9"/>
    <mergeCell ref="A18:B18"/>
    <mergeCell ref="A28:B28"/>
    <mergeCell ref="A32:B32"/>
    <mergeCell ref="A19:B19"/>
    <mergeCell ref="A21:B21"/>
    <mergeCell ref="A22:B22"/>
    <mergeCell ref="A24:B24"/>
    <mergeCell ref="A25:B25"/>
    <mergeCell ref="A27:B27"/>
    <mergeCell ref="A39:B39"/>
    <mergeCell ref="A44:B44"/>
    <mergeCell ref="A45:B45"/>
    <mergeCell ref="A46:K46"/>
    <mergeCell ref="A47:B47"/>
    <mergeCell ref="D47:F47"/>
    <mergeCell ref="A48:B48"/>
    <mergeCell ref="D48:F48"/>
    <mergeCell ref="A49:B49"/>
    <mergeCell ref="D49:F49"/>
    <mergeCell ref="A50:B50"/>
    <mergeCell ref="D50:F50"/>
    <mergeCell ref="A51:B51"/>
    <mergeCell ref="D51:F51"/>
    <mergeCell ref="A52:B52"/>
    <mergeCell ref="D52:F52"/>
    <mergeCell ref="A55:B55"/>
    <mergeCell ref="D55:F55"/>
    <mergeCell ref="A56:I56"/>
    <mergeCell ref="A53:B53"/>
    <mergeCell ref="D53:F53"/>
    <mergeCell ref="A54:B54"/>
    <mergeCell ref="D54:F54"/>
    <mergeCell ref="A66:B66"/>
    <mergeCell ref="A61:B61"/>
    <mergeCell ref="A57:G57"/>
    <mergeCell ref="A58:F58"/>
    <mergeCell ref="A59:F59"/>
    <mergeCell ref="A64:F64"/>
    <mergeCell ref="A65:F65"/>
    <mergeCell ref="A60:F60"/>
    <mergeCell ref="A62:G62"/>
    <mergeCell ref="A63:F63"/>
    <mergeCell ref="A33:B33"/>
    <mergeCell ref="A35:B35"/>
    <mergeCell ref="A36:B36"/>
    <mergeCell ref="A38:B3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O70"/>
  <sheetViews>
    <sheetView workbookViewId="0" topLeftCell="A46">
      <selection activeCell="I19" sqref="I19"/>
    </sheetView>
  </sheetViews>
  <sheetFormatPr defaultColWidth="9.140625" defaultRowHeight="12.75"/>
  <cols>
    <col min="1" max="1" width="20.7109375" style="4" customWidth="1"/>
    <col min="2" max="2" width="20.7109375" style="3" customWidth="1"/>
    <col min="3" max="3" width="17.7109375" style="3" customWidth="1"/>
    <col min="4" max="4" width="20.7109375" style="4" customWidth="1"/>
    <col min="5" max="5" width="7.7109375" style="3" customWidth="1"/>
    <col min="6" max="6" width="5.7109375" style="303" customWidth="1"/>
    <col min="7" max="7" width="5.7109375" style="3" customWidth="1"/>
    <col min="8" max="9" width="9.7109375" style="3" customWidth="1"/>
    <col min="10" max="10" width="13.7109375" style="3" customWidth="1"/>
    <col min="11" max="11" width="16.8515625" style="3" customWidth="1"/>
    <col min="12" max="12" width="10.28125" style="3" customWidth="1"/>
    <col min="13" max="13" width="16.8515625" style="9" customWidth="1"/>
    <col min="14" max="14" width="20.00390625" style="9" customWidth="1"/>
    <col min="15" max="16384" width="11.57421875" style="9" customWidth="1"/>
  </cols>
  <sheetData>
    <row r="1" spans="1:12" s="5" customFormat="1" ht="30" customHeight="1">
      <c r="A1" s="608" t="s">
        <v>79</v>
      </c>
      <c r="B1" s="616"/>
      <c r="C1" s="609"/>
      <c r="D1" s="609"/>
      <c r="E1" s="609"/>
      <c r="F1" s="609"/>
      <c r="G1" s="609"/>
      <c r="H1" s="609"/>
      <c r="I1" s="609"/>
      <c r="J1" s="609"/>
      <c r="K1" s="1033">
        <v>40071126</v>
      </c>
      <c r="L1" s="1034"/>
    </row>
    <row r="2" spans="1:12" s="6" customFormat="1" ht="48.75" customHeight="1">
      <c r="A2" s="1026" t="s">
        <v>400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  <c r="L2" s="1026"/>
    </row>
    <row r="3" spans="1:12" s="4" customFormat="1" ht="15" customHeight="1">
      <c r="A3" s="1027" t="s">
        <v>66</v>
      </c>
      <c r="B3" s="1027"/>
      <c r="C3" s="87"/>
      <c r="D3" s="87"/>
      <c r="E3" s="87"/>
      <c r="F3" s="300"/>
      <c r="G3" s="87"/>
      <c r="H3" s="87"/>
      <c r="I3" s="87"/>
      <c r="J3" s="87"/>
      <c r="K3" s="87"/>
      <c r="L3" s="87"/>
    </row>
    <row r="4" spans="1:12" s="50" customFormat="1" ht="42" customHeight="1">
      <c r="A4" s="39" t="s">
        <v>332</v>
      </c>
      <c r="B4" s="39" t="s">
        <v>333</v>
      </c>
      <c r="C4" s="115" t="s">
        <v>417</v>
      </c>
      <c r="D4" s="39" t="s">
        <v>213</v>
      </c>
      <c r="E4" s="115" t="s">
        <v>36</v>
      </c>
      <c r="F4" s="115" t="s">
        <v>73</v>
      </c>
      <c r="G4" s="115" t="s">
        <v>74</v>
      </c>
      <c r="H4" s="115" t="s">
        <v>37</v>
      </c>
      <c r="I4" s="115" t="s">
        <v>38</v>
      </c>
      <c r="J4" s="115" t="s">
        <v>15</v>
      </c>
      <c r="K4" s="115" t="s">
        <v>214</v>
      </c>
      <c r="L4" s="115" t="s">
        <v>39</v>
      </c>
    </row>
    <row r="5" spans="1:12" s="278" customFormat="1" ht="15" customHeight="1">
      <c r="A5" s="786"/>
      <c r="B5" s="786"/>
      <c r="C5" s="469" t="s">
        <v>338</v>
      </c>
      <c r="D5" s="786"/>
      <c r="E5" s="7">
        <v>1</v>
      </c>
      <c r="F5" s="380"/>
      <c r="G5" s="380">
        <v>1</v>
      </c>
      <c r="H5" s="380"/>
      <c r="I5" s="380">
        <v>1</v>
      </c>
      <c r="J5" s="469" t="s">
        <v>212</v>
      </c>
      <c r="K5" s="469" t="s">
        <v>326</v>
      </c>
      <c r="L5" s="7">
        <v>2011</v>
      </c>
    </row>
    <row r="6" spans="1:12" s="278" customFormat="1" ht="15" customHeight="1">
      <c r="A6" s="786"/>
      <c r="B6" s="786"/>
      <c r="C6" s="470" t="s">
        <v>325</v>
      </c>
      <c r="D6" s="786"/>
      <c r="E6" s="7">
        <v>1</v>
      </c>
      <c r="F6" s="380"/>
      <c r="G6" s="380">
        <v>1</v>
      </c>
      <c r="H6" s="380"/>
      <c r="I6" s="380">
        <v>1</v>
      </c>
      <c r="J6" s="469" t="s">
        <v>326</v>
      </c>
      <c r="K6" s="409"/>
      <c r="L6" s="429">
        <v>1961</v>
      </c>
    </row>
    <row r="7" spans="1:12" s="278" customFormat="1" ht="15" customHeight="1">
      <c r="A7" s="786"/>
      <c r="B7" s="787"/>
      <c r="C7" s="470" t="s">
        <v>351</v>
      </c>
      <c r="D7" s="787"/>
      <c r="E7" s="7">
        <v>1</v>
      </c>
      <c r="F7" s="380"/>
      <c r="G7" s="380">
        <v>1</v>
      </c>
      <c r="H7" s="380"/>
      <c r="I7" s="380">
        <v>1</v>
      </c>
      <c r="J7" s="469" t="s">
        <v>212</v>
      </c>
      <c r="K7" s="469" t="s">
        <v>326</v>
      </c>
      <c r="L7" s="7">
        <v>1994</v>
      </c>
    </row>
    <row r="8" spans="1:12" s="421" customFormat="1" ht="15" customHeight="1">
      <c r="A8" s="788"/>
      <c r="B8" s="788"/>
      <c r="C8" s="471" t="s">
        <v>419</v>
      </c>
      <c r="D8" s="788"/>
      <c r="E8" s="7">
        <v>1</v>
      </c>
      <c r="F8" s="380">
        <v>1</v>
      </c>
      <c r="G8" s="380"/>
      <c r="H8" s="380"/>
      <c r="I8" s="380">
        <v>1</v>
      </c>
      <c r="J8" s="469" t="s">
        <v>18</v>
      </c>
      <c r="K8" s="469"/>
      <c r="L8" s="380">
        <v>1966</v>
      </c>
    </row>
    <row r="9" spans="1:12" s="278" customFormat="1" ht="15" customHeight="1">
      <c r="A9" s="786"/>
      <c r="B9" s="786"/>
      <c r="C9" s="469" t="s">
        <v>351</v>
      </c>
      <c r="D9" s="786"/>
      <c r="E9" s="7">
        <v>1</v>
      </c>
      <c r="F9" s="7"/>
      <c r="G9" s="7">
        <v>1</v>
      </c>
      <c r="H9" s="7"/>
      <c r="I9" s="7">
        <v>1</v>
      </c>
      <c r="J9" s="469" t="s">
        <v>18</v>
      </c>
      <c r="K9" s="1"/>
      <c r="L9" s="7">
        <v>1977</v>
      </c>
    </row>
    <row r="10" spans="1:12" s="278" customFormat="1" ht="15" customHeight="1">
      <c r="A10" s="786"/>
      <c r="B10" s="786"/>
      <c r="C10" s="469" t="s">
        <v>418</v>
      </c>
      <c r="D10" s="786"/>
      <c r="E10" s="7">
        <v>1</v>
      </c>
      <c r="F10" s="380">
        <v>1</v>
      </c>
      <c r="G10" s="380"/>
      <c r="H10" s="380"/>
      <c r="I10" s="380">
        <v>1</v>
      </c>
      <c r="J10" s="469" t="s">
        <v>18</v>
      </c>
      <c r="K10" s="469" t="s">
        <v>18</v>
      </c>
      <c r="L10" s="429">
        <v>1999</v>
      </c>
    </row>
    <row r="11" spans="1:12" s="278" customFormat="1" ht="15" customHeight="1">
      <c r="A11" s="786"/>
      <c r="B11" s="786"/>
      <c r="C11" s="469" t="s">
        <v>418</v>
      </c>
      <c r="D11" s="786"/>
      <c r="E11" s="7">
        <v>1</v>
      </c>
      <c r="F11" s="380">
        <v>1</v>
      </c>
      <c r="G11" s="380"/>
      <c r="H11" s="380"/>
      <c r="I11" s="380">
        <v>1</v>
      </c>
      <c r="J11" s="469" t="s">
        <v>18</v>
      </c>
      <c r="K11" s="469" t="s">
        <v>18</v>
      </c>
      <c r="L11" s="380">
        <v>1995</v>
      </c>
    </row>
    <row r="12" spans="1:13" s="206" customFormat="1" ht="15" customHeight="1">
      <c r="A12" s="1030" t="s">
        <v>75</v>
      </c>
      <c r="B12" s="1030"/>
      <c r="C12" s="104"/>
      <c r="D12" s="104"/>
      <c r="E12" s="104">
        <f>SUM(E5:E11)</f>
        <v>7</v>
      </c>
      <c r="F12" s="104">
        <f>SUM(F8:F11)</f>
        <v>3</v>
      </c>
      <c r="G12" s="104">
        <f>SUM(G5:G11)</f>
        <v>4</v>
      </c>
      <c r="H12" s="104">
        <f>SUM(H8:H11)</f>
        <v>0</v>
      </c>
      <c r="I12" s="104">
        <f>SUM(I5:I11)</f>
        <v>7</v>
      </c>
      <c r="J12" s="104"/>
      <c r="K12" s="104"/>
      <c r="L12" s="104"/>
      <c r="M12" s="209"/>
    </row>
    <row r="13" spans="1:12" s="4" customFormat="1" ht="15" customHeight="1">
      <c r="A13" s="1027" t="s">
        <v>64</v>
      </c>
      <c r="B13" s="1027"/>
      <c r="C13" s="87"/>
      <c r="D13" s="87"/>
      <c r="E13" s="87"/>
      <c r="F13" s="300"/>
      <c r="G13" s="87"/>
      <c r="H13" s="87"/>
      <c r="I13" s="87"/>
      <c r="J13" s="87"/>
      <c r="K13" s="87"/>
      <c r="L13" s="87"/>
    </row>
    <row r="14" spans="1:12" s="50" customFormat="1" ht="42" customHeight="1">
      <c r="A14" s="39" t="s">
        <v>332</v>
      </c>
      <c r="B14" s="39" t="s">
        <v>333</v>
      </c>
      <c r="C14" s="115" t="s">
        <v>417</v>
      </c>
      <c r="D14" s="39" t="s">
        <v>213</v>
      </c>
      <c r="E14" s="115" t="s">
        <v>36</v>
      </c>
      <c r="F14" s="115" t="s">
        <v>73</v>
      </c>
      <c r="G14" s="115" t="s">
        <v>74</v>
      </c>
      <c r="H14" s="115" t="s">
        <v>37</v>
      </c>
      <c r="I14" s="115" t="s">
        <v>38</v>
      </c>
      <c r="J14" s="115" t="s">
        <v>15</v>
      </c>
      <c r="K14" s="115" t="s">
        <v>214</v>
      </c>
      <c r="L14" s="115" t="s">
        <v>39</v>
      </c>
    </row>
    <row r="15" spans="1:12" s="294" customFormat="1" ht="15.75" customHeight="1">
      <c r="A15" s="786"/>
      <c r="B15" s="786"/>
      <c r="C15" s="435" t="s">
        <v>409</v>
      </c>
      <c r="D15" s="786"/>
      <c r="E15" s="7">
        <v>1</v>
      </c>
      <c r="F15" s="22">
        <v>1</v>
      </c>
      <c r="G15" s="7"/>
      <c r="H15" s="7">
        <v>1</v>
      </c>
      <c r="I15" s="22"/>
      <c r="J15" s="22" t="s">
        <v>212</v>
      </c>
      <c r="K15" s="22"/>
      <c r="L15" s="22">
        <v>1961</v>
      </c>
    </row>
    <row r="16" spans="1:12" s="213" customFormat="1" ht="15" customHeight="1">
      <c r="A16" s="1031" t="s">
        <v>8</v>
      </c>
      <c r="B16" s="1032"/>
      <c r="C16" s="205"/>
      <c r="D16" s="205"/>
      <c r="E16" s="205">
        <f>SUM(E15:E15)</f>
        <v>1</v>
      </c>
      <c r="F16" s="205">
        <f>SUM(F15:F15)</f>
        <v>1</v>
      </c>
      <c r="G16" s="205">
        <f>SUM(G15:G15)</f>
        <v>0</v>
      </c>
      <c r="H16" s="205">
        <f>SUM(H15:H15)</f>
        <v>1</v>
      </c>
      <c r="I16" s="205">
        <f>SUM(I15:I15)</f>
        <v>0</v>
      </c>
      <c r="J16" s="205"/>
      <c r="K16" s="205"/>
      <c r="L16" s="205"/>
    </row>
    <row r="17" spans="1:12" s="4" customFormat="1" ht="15" customHeight="1">
      <c r="A17" s="1027" t="s">
        <v>67</v>
      </c>
      <c r="B17" s="1027"/>
      <c r="C17" s="87"/>
      <c r="D17" s="87"/>
      <c r="E17" s="87"/>
      <c r="F17" s="300"/>
      <c r="G17" s="87"/>
      <c r="H17" s="87"/>
      <c r="I17" s="87"/>
      <c r="J17" s="87"/>
      <c r="K17" s="87"/>
      <c r="L17" s="87"/>
    </row>
    <row r="18" spans="1:12" s="50" customFormat="1" ht="42" customHeight="1">
      <c r="A18" s="39" t="s">
        <v>332</v>
      </c>
      <c r="B18" s="39" t="s">
        <v>333</v>
      </c>
      <c r="C18" s="115" t="s">
        <v>417</v>
      </c>
      <c r="D18" s="39" t="s">
        <v>213</v>
      </c>
      <c r="E18" s="115" t="s">
        <v>36</v>
      </c>
      <c r="F18" s="115" t="s">
        <v>73</v>
      </c>
      <c r="G18" s="115" t="s">
        <v>74</v>
      </c>
      <c r="H18" s="115" t="s">
        <v>37</v>
      </c>
      <c r="I18" s="115" t="s">
        <v>38</v>
      </c>
      <c r="J18" s="115" t="s">
        <v>15</v>
      </c>
      <c r="K18" s="115" t="s">
        <v>214</v>
      </c>
      <c r="L18" s="115" t="s">
        <v>39</v>
      </c>
    </row>
    <row r="19" spans="1:12" s="213" customFormat="1" ht="15" customHeight="1">
      <c r="A19" s="1031" t="s">
        <v>95</v>
      </c>
      <c r="B19" s="1032"/>
      <c r="C19" s="205"/>
      <c r="D19" s="205"/>
      <c r="E19" s="205">
        <v>0</v>
      </c>
      <c r="F19" s="205">
        <v>0</v>
      </c>
      <c r="G19" s="205">
        <v>0</v>
      </c>
      <c r="H19" s="205">
        <v>0</v>
      </c>
      <c r="I19" s="205">
        <v>0</v>
      </c>
      <c r="J19" s="205"/>
      <c r="K19" s="205"/>
      <c r="L19" s="205"/>
    </row>
    <row r="20" spans="1:12" s="4" customFormat="1" ht="15" customHeight="1">
      <c r="A20" s="1028" t="s">
        <v>68</v>
      </c>
      <c r="B20" s="1029"/>
      <c r="C20" s="87"/>
      <c r="D20" s="87"/>
      <c r="E20" s="87"/>
      <c r="F20" s="300"/>
      <c r="G20" s="87"/>
      <c r="H20" s="87"/>
      <c r="I20" s="87"/>
      <c r="J20" s="87"/>
      <c r="K20" s="87"/>
      <c r="L20" s="87"/>
    </row>
    <row r="21" spans="1:12" s="50" customFormat="1" ht="42" customHeight="1">
      <c r="A21" s="39" t="s">
        <v>332</v>
      </c>
      <c r="B21" s="39" t="s">
        <v>333</v>
      </c>
      <c r="C21" s="115" t="s">
        <v>417</v>
      </c>
      <c r="D21" s="39" t="s">
        <v>213</v>
      </c>
      <c r="E21" s="115" t="s">
        <v>36</v>
      </c>
      <c r="F21" s="115" t="s">
        <v>73</v>
      </c>
      <c r="G21" s="115" t="s">
        <v>74</v>
      </c>
      <c r="H21" s="115" t="s">
        <v>37</v>
      </c>
      <c r="I21" s="115" t="s">
        <v>38</v>
      </c>
      <c r="J21" s="115" t="s">
        <v>15</v>
      </c>
      <c r="K21" s="115" t="s">
        <v>214</v>
      </c>
      <c r="L21" s="115" t="s">
        <v>39</v>
      </c>
    </row>
    <row r="22" spans="1:13" s="437" customFormat="1" ht="15" customHeight="1">
      <c r="A22" s="786"/>
      <c r="B22" s="786"/>
      <c r="C22" s="357" t="s">
        <v>418</v>
      </c>
      <c r="D22" s="786"/>
      <c r="E22" s="357">
        <v>1</v>
      </c>
      <c r="F22" s="357">
        <v>1</v>
      </c>
      <c r="G22" s="434"/>
      <c r="H22" s="434"/>
      <c r="I22" s="357">
        <v>1</v>
      </c>
      <c r="J22" s="357" t="s">
        <v>427</v>
      </c>
      <c r="K22" s="439" t="s">
        <v>427</v>
      </c>
      <c r="L22" s="434">
        <v>1995</v>
      </c>
      <c r="M22" s="436"/>
    </row>
    <row r="23" spans="1:13" s="437" customFormat="1" ht="15" customHeight="1">
      <c r="A23" s="786"/>
      <c r="B23" s="786"/>
      <c r="C23" s="357" t="s">
        <v>418</v>
      </c>
      <c r="D23" s="786"/>
      <c r="E23" s="357">
        <v>1</v>
      </c>
      <c r="F23" s="357">
        <v>1</v>
      </c>
      <c r="G23" s="434"/>
      <c r="H23" s="357"/>
      <c r="I23" s="434">
        <v>1</v>
      </c>
      <c r="J23" s="434" t="s">
        <v>212</v>
      </c>
      <c r="K23" s="439" t="s">
        <v>427</v>
      </c>
      <c r="L23" s="434">
        <v>2001</v>
      </c>
      <c r="M23" s="436"/>
    </row>
    <row r="24" spans="1:13" s="437" customFormat="1" ht="15" customHeight="1">
      <c r="A24" s="786"/>
      <c r="B24" s="786"/>
      <c r="C24" s="357" t="s">
        <v>351</v>
      </c>
      <c r="D24" s="786"/>
      <c r="E24" s="357">
        <v>1</v>
      </c>
      <c r="F24" s="357"/>
      <c r="G24" s="434">
        <v>1</v>
      </c>
      <c r="H24" s="357"/>
      <c r="I24" s="434">
        <v>1</v>
      </c>
      <c r="J24" s="434" t="s">
        <v>18</v>
      </c>
      <c r="K24" s="439"/>
      <c r="L24" s="434">
        <v>1965</v>
      </c>
      <c r="M24" s="436"/>
    </row>
    <row r="25" spans="1:13" s="437" customFormat="1" ht="15" customHeight="1">
      <c r="A25" s="786"/>
      <c r="B25" s="786"/>
      <c r="C25" s="357" t="s">
        <v>419</v>
      </c>
      <c r="D25" s="786"/>
      <c r="E25" s="357">
        <v>1</v>
      </c>
      <c r="F25" s="357">
        <v>1</v>
      </c>
      <c r="G25" s="434"/>
      <c r="H25" s="357"/>
      <c r="I25" s="434">
        <v>1</v>
      </c>
      <c r="J25" s="434" t="s">
        <v>18</v>
      </c>
      <c r="K25" s="439"/>
      <c r="L25" s="434">
        <v>1953</v>
      </c>
      <c r="M25" s="436"/>
    </row>
    <row r="26" spans="1:13" s="437" customFormat="1" ht="15" customHeight="1">
      <c r="A26" s="786"/>
      <c r="B26" s="786"/>
      <c r="C26" s="357" t="s">
        <v>338</v>
      </c>
      <c r="D26" s="786"/>
      <c r="E26" s="357">
        <v>1</v>
      </c>
      <c r="F26" s="357"/>
      <c r="G26" s="434">
        <v>1</v>
      </c>
      <c r="H26" s="357"/>
      <c r="I26" s="434">
        <v>1</v>
      </c>
      <c r="J26" s="434" t="s">
        <v>18</v>
      </c>
      <c r="K26" s="434" t="s">
        <v>18</v>
      </c>
      <c r="L26" s="434">
        <v>1992</v>
      </c>
      <c r="M26" s="436"/>
    </row>
    <row r="27" spans="1:13" s="437" customFormat="1" ht="15" customHeight="1">
      <c r="A27" s="786"/>
      <c r="B27" s="786"/>
      <c r="C27" s="357" t="s">
        <v>338</v>
      </c>
      <c r="D27" s="786"/>
      <c r="E27" s="357">
        <v>1</v>
      </c>
      <c r="F27" s="357"/>
      <c r="G27" s="434">
        <v>1</v>
      </c>
      <c r="H27" s="357"/>
      <c r="I27" s="434">
        <v>1</v>
      </c>
      <c r="J27" s="434" t="s">
        <v>18</v>
      </c>
      <c r="K27" s="434" t="s">
        <v>18</v>
      </c>
      <c r="L27" s="434">
        <v>1995</v>
      </c>
      <c r="M27" s="436"/>
    </row>
    <row r="28" spans="1:13" s="437" customFormat="1" ht="15" customHeight="1">
      <c r="A28" s="786"/>
      <c r="B28" s="786"/>
      <c r="C28" s="357" t="s">
        <v>338</v>
      </c>
      <c r="D28" s="786"/>
      <c r="E28" s="357">
        <v>1</v>
      </c>
      <c r="F28" s="357"/>
      <c r="G28" s="434">
        <v>1</v>
      </c>
      <c r="H28" s="357"/>
      <c r="I28" s="434">
        <v>1</v>
      </c>
      <c r="J28" s="434" t="s">
        <v>18</v>
      </c>
      <c r="K28" s="434" t="s">
        <v>18</v>
      </c>
      <c r="L28" s="434">
        <v>1999</v>
      </c>
      <c r="M28" s="436"/>
    </row>
    <row r="29" spans="1:13" s="437" customFormat="1" ht="15" customHeight="1">
      <c r="A29" s="786"/>
      <c r="B29" s="786"/>
      <c r="C29" s="357" t="s">
        <v>418</v>
      </c>
      <c r="D29" s="786"/>
      <c r="E29" s="357">
        <v>1</v>
      </c>
      <c r="F29" s="357">
        <v>1</v>
      </c>
      <c r="G29" s="434"/>
      <c r="H29" s="357"/>
      <c r="I29" s="434">
        <v>1</v>
      </c>
      <c r="J29" s="434" t="s">
        <v>18</v>
      </c>
      <c r="K29" s="434" t="s">
        <v>18</v>
      </c>
      <c r="L29" s="434">
        <v>1990</v>
      </c>
      <c r="M29" s="436"/>
    </row>
    <row r="30" spans="1:13" s="437" customFormat="1" ht="15" customHeight="1">
      <c r="A30" s="786"/>
      <c r="B30" s="786"/>
      <c r="C30" s="434" t="s">
        <v>351</v>
      </c>
      <c r="D30" s="786"/>
      <c r="E30" s="357">
        <v>1</v>
      </c>
      <c r="F30" s="357"/>
      <c r="G30" s="357">
        <v>1</v>
      </c>
      <c r="H30" s="434"/>
      <c r="I30" s="357">
        <v>1</v>
      </c>
      <c r="J30" s="357" t="s">
        <v>427</v>
      </c>
      <c r="K30" s="440"/>
      <c r="L30" s="357">
        <v>1968</v>
      </c>
      <c r="M30" s="436"/>
    </row>
    <row r="31" spans="1:12" s="213" customFormat="1" ht="15" customHeight="1">
      <c r="A31" s="1030" t="s">
        <v>478</v>
      </c>
      <c r="B31" s="1030"/>
      <c r="C31" s="310"/>
      <c r="D31" s="311"/>
      <c r="E31" s="202">
        <f>SUM(E22:E30)</f>
        <v>9</v>
      </c>
      <c r="F31" s="202">
        <f>SUM(F22:F30)</f>
        <v>4</v>
      </c>
      <c r="G31" s="202">
        <f>SUM(G22:G30)</f>
        <v>5</v>
      </c>
      <c r="H31" s="202">
        <v>0</v>
      </c>
      <c r="I31" s="202">
        <f>SUM(I22:I30)</f>
        <v>9</v>
      </c>
      <c r="J31" s="312"/>
      <c r="K31" s="207"/>
      <c r="L31" s="202"/>
    </row>
    <row r="32" spans="1:12" s="213" customFormat="1" ht="15" customHeight="1">
      <c r="A32" s="1027" t="s">
        <v>65</v>
      </c>
      <c r="B32" s="1027"/>
      <c r="C32" s="457"/>
      <c r="D32" s="313"/>
      <c r="E32" s="365"/>
      <c r="F32" s="314"/>
      <c r="G32" s="314"/>
      <c r="H32" s="314"/>
      <c r="I32" s="314"/>
      <c r="J32" s="315"/>
      <c r="K32" s="314"/>
      <c r="L32" s="314"/>
    </row>
    <row r="33" spans="1:12" s="213" customFormat="1" ht="15" customHeight="1">
      <c r="A33" s="39" t="s">
        <v>332</v>
      </c>
      <c r="B33" s="39" t="s">
        <v>333</v>
      </c>
      <c r="C33" s="39"/>
      <c r="D33" s="39" t="s">
        <v>213</v>
      </c>
      <c r="E33" s="115" t="s">
        <v>36</v>
      </c>
      <c r="F33" s="115" t="s">
        <v>73</v>
      </c>
      <c r="G33" s="115" t="s">
        <v>74</v>
      </c>
      <c r="H33" s="115" t="s">
        <v>37</v>
      </c>
      <c r="I33" s="115" t="s">
        <v>38</v>
      </c>
      <c r="J33" s="115" t="s">
        <v>15</v>
      </c>
      <c r="K33" s="115" t="s">
        <v>214</v>
      </c>
      <c r="L33" s="115" t="s">
        <v>39</v>
      </c>
    </row>
    <row r="34" spans="1:12" s="213" customFormat="1" ht="15" customHeight="1">
      <c r="A34" s="1031" t="s">
        <v>340</v>
      </c>
      <c r="B34" s="1032"/>
      <c r="C34" s="310"/>
      <c r="D34" s="311"/>
      <c r="E34" s="202">
        <v>0</v>
      </c>
      <c r="F34" s="202">
        <v>0</v>
      </c>
      <c r="G34" s="202">
        <v>0</v>
      </c>
      <c r="H34" s="202">
        <v>0</v>
      </c>
      <c r="I34" s="202">
        <v>0</v>
      </c>
      <c r="J34" s="312"/>
      <c r="K34" s="207"/>
      <c r="L34" s="202"/>
    </row>
    <row r="35" spans="1:12" s="4" customFormat="1" ht="15.75" customHeight="1">
      <c r="A35" s="1027" t="s">
        <v>69</v>
      </c>
      <c r="B35" s="1027"/>
      <c r="C35" s="457"/>
      <c r="D35" s="313"/>
      <c r="E35" s="365"/>
      <c r="F35" s="314"/>
      <c r="G35" s="314"/>
      <c r="H35" s="314"/>
      <c r="I35" s="314"/>
      <c r="J35" s="315"/>
      <c r="K35" s="314"/>
      <c r="L35" s="314"/>
    </row>
    <row r="36" spans="1:12" s="50" customFormat="1" ht="42" customHeight="1">
      <c r="A36" s="39" t="s">
        <v>332</v>
      </c>
      <c r="B36" s="39" t="s">
        <v>333</v>
      </c>
      <c r="C36" s="115" t="s">
        <v>417</v>
      </c>
      <c r="D36" s="39" t="s">
        <v>213</v>
      </c>
      <c r="E36" s="115" t="s">
        <v>36</v>
      </c>
      <c r="F36" s="115" t="s">
        <v>73</v>
      </c>
      <c r="G36" s="115" t="s">
        <v>74</v>
      </c>
      <c r="H36" s="115" t="s">
        <v>37</v>
      </c>
      <c r="I36" s="115" t="s">
        <v>38</v>
      </c>
      <c r="J36" s="115" t="s">
        <v>15</v>
      </c>
      <c r="K36" s="115" t="s">
        <v>214</v>
      </c>
      <c r="L36" s="115" t="s">
        <v>39</v>
      </c>
    </row>
    <row r="37" spans="1:12" s="278" customFormat="1" ht="15" customHeight="1">
      <c r="A37" s="786"/>
      <c r="B37" s="786"/>
      <c r="C37" s="409" t="s">
        <v>418</v>
      </c>
      <c r="D37" s="786"/>
      <c r="E37" s="429">
        <v>1</v>
      </c>
      <c r="F37" s="429">
        <v>1</v>
      </c>
      <c r="G37" s="429"/>
      <c r="H37" s="22"/>
      <c r="I37" s="22">
        <v>1</v>
      </c>
      <c r="J37" s="409" t="s">
        <v>212</v>
      </c>
      <c r="K37" s="434" t="s">
        <v>19</v>
      </c>
      <c r="L37" s="22">
        <v>2006</v>
      </c>
    </row>
    <row r="38" spans="1:12" s="278" customFormat="1" ht="15" customHeight="1">
      <c r="A38" s="786"/>
      <c r="B38" s="786"/>
      <c r="C38" s="409" t="s">
        <v>338</v>
      </c>
      <c r="D38" s="786"/>
      <c r="E38" s="429">
        <v>1</v>
      </c>
      <c r="F38" s="409"/>
      <c r="G38" s="409">
        <v>1</v>
      </c>
      <c r="H38" s="22"/>
      <c r="I38" s="77">
        <v>1</v>
      </c>
      <c r="J38" s="409" t="s">
        <v>212</v>
      </c>
      <c r="K38" s="415" t="s">
        <v>19</v>
      </c>
      <c r="L38" s="409">
        <v>2012</v>
      </c>
    </row>
    <row r="39" spans="1:12" s="278" customFormat="1" ht="15" customHeight="1">
      <c r="A39" s="786"/>
      <c r="B39" s="786"/>
      <c r="C39" s="435" t="s">
        <v>351</v>
      </c>
      <c r="D39" s="786"/>
      <c r="E39" s="357">
        <v>1</v>
      </c>
      <c r="F39" s="357"/>
      <c r="G39" s="357">
        <v>1</v>
      </c>
      <c r="H39" s="22"/>
      <c r="I39" s="22">
        <v>1</v>
      </c>
      <c r="J39" s="434" t="s">
        <v>19</v>
      </c>
      <c r="K39" s="415"/>
      <c r="L39" s="22">
        <v>1983</v>
      </c>
    </row>
    <row r="40" spans="1:12" s="213" customFormat="1" ht="15" customHeight="1">
      <c r="A40" s="1030" t="s">
        <v>13</v>
      </c>
      <c r="B40" s="1030"/>
      <c r="C40" s="310"/>
      <c r="D40" s="311"/>
      <c r="E40" s="205">
        <f>SUM(E37:E39)</f>
        <v>3</v>
      </c>
      <c r="F40" s="205">
        <f>SUM(F37:F38)</f>
        <v>1</v>
      </c>
      <c r="G40" s="205">
        <f>SUM(G37:G39)</f>
        <v>2</v>
      </c>
      <c r="H40" s="205">
        <f>SUM(H37:H38)</f>
        <v>0</v>
      </c>
      <c r="I40" s="205">
        <f>SUM(I37:I39)</f>
        <v>3</v>
      </c>
      <c r="J40" s="312"/>
      <c r="K40" s="207"/>
      <c r="L40" s="205"/>
    </row>
    <row r="41" spans="1:12" s="4" customFormat="1" ht="15" customHeight="1">
      <c r="A41" s="1027" t="s">
        <v>70</v>
      </c>
      <c r="B41" s="1027"/>
      <c r="C41" s="457"/>
      <c r="D41" s="313"/>
      <c r="E41" s="365"/>
      <c r="F41" s="314"/>
      <c r="G41" s="314"/>
      <c r="H41" s="314"/>
      <c r="I41" s="314"/>
      <c r="J41" s="315"/>
      <c r="K41" s="314"/>
      <c r="L41" s="314"/>
    </row>
    <row r="42" spans="1:12" s="50" customFormat="1" ht="42" customHeight="1">
      <c r="A42" s="39" t="s">
        <v>332</v>
      </c>
      <c r="B42" s="39" t="s">
        <v>333</v>
      </c>
      <c r="C42" s="115" t="s">
        <v>417</v>
      </c>
      <c r="D42" s="39" t="s">
        <v>213</v>
      </c>
      <c r="E42" s="115" t="s">
        <v>36</v>
      </c>
      <c r="F42" s="115" t="s">
        <v>73</v>
      </c>
      <c r="G42" s="115" t="s">
        <v>74</v>
      </c>
      <c r="H42" s="115" t="s">
        <v>37</v>
      </c>
      <c r="I42" s="115" t="s">
        <v>38</v>
      </c>
      <c r="J42" s="115" t="s">
        <v>15</v>
      </c>
      <c r="K42" s="115" t="s">
        <v>214</v>
      </c>
      <c r="L42" s="115" t="s">
        <v>39</v>
      </c>
    </row>
    <row r="43" spans="1:12" s="111" customFormat="1" ht="15" customHeight="1">
      <c r="A43" s="786"/>
      <c r="B43" s="786"/>
      <c r="C43" s="435" t="s">
        <v>409</v>
      </c>
      <c r="D43" s="786"/>
      <c r="E43" s="1">
        <v>1</v>
      </c>
      <c r="F43" s="22">
        <v>1</v>
      </c>
      <c r="G43" s="77"/>
      <c r="H43" s="77">
        <v>1</v>
      </c>
      <c r="I43" s="22"/>
      <c r="J43" s="22" t="s">
        <v>212</v>
      </c>
      <c r="K43" s="222"/>
      <c r="L43" s="21">
        <v>1952</v>
      </c>
    </row>
    <row r="44" spans="1:12" s="111" customFormat="1" ht="15" customHeight="1">
      <c r="A44" s="786"/>
      <c r="B44" s="786"/>
      <c r="C44" s="435" t="s">
        <v>409</v>
      </c>
      <c r="D44" s="786"/>
      <c r="E44" s="1">
        <v>1</v>
      </c>
      <c r="F44" s="22">
        <v>1</v>
      </c>
      <c r="G44" s="77"/>
      <c r="H44" s="77"/>
      <c r="I44" s="22">
        <v>1</v>
      </c>
      <c r="J44" s="22" t="s">
        <v>427</v>
      </c>
      <c r="K44" s="222"/>
      <c r="L44" s="77">
        <v>1975</v>
      </c>
    </row>
    <row r="45" spans="1:12" s="213" customFormat="1" ht="15" customHeight="1">
      <c r="A45" s="1030" t="s">
        <v>341</v>
      </c>
      <c r="B45" s="1030"/>
      <c r="C45" s="310"/>
      <c r="D45" s="311"/>
      <c r="E45" s="205">
        <f>SUM(E43:E44)</f>
        <v>2</v>
      </c>
      <c r="F45" s="205">
        <f>SUM(F43:F44)</f>
        <v>2</v>
      </c>
      <c r="G45" s="205">
        <f>SUM(G43:G44)</f>
        <v>0</v>
      </c>
      <c r="H45" s="205">
        <f>SUM(H43:H44)</f>
        <v>1</v>
      </c>
      <c r="I45" s="205">
        <f>SUM(I43:I44)</f>
        <v>1</v>
      </c>
      <c r="J45" s="312"/>
      <c r="K45" s="207"/>
      <c r="L45" s="205"/>
    </row>
    <row r="46" spans="1:12" s="4" customFormat="1" ht="15" customHeight="1">
      <c r="A46" s="1027" t="s">
        <v>71</v>
      </c>
      <c r="B46" s="1027"/>
      <c r="C46" s="457"/>
      <c r="D46" s="313"/>
      <c r="E46" s="365"/>
      <c r="F46" s="314"/>
      <c r="G46" s="314"/>
      <c r="H46" s="314"/>
      <c r="I46" s="314"/>
      <c r="J46" s="315"/>
      <c r="K46" s="314"/>
      <c r="L46" s="314"/>
    </row>
    <row r="47" spans="1:12" s="50" customFormat="1" ht="42" customHeight="1">
      <c r="A47" s="39" t="s">
        <v>332</v>
      </c>
      <c r="B47" s="39" t="s">
        <v>333</v>
      </c>
      <c r="C47" s="115" t="s">
        <v>417</v>
      </c>
      <c r="D47" s="39" t="s">
        <v>213</v>
      </c>
      <c r="E47" s="115" t="s">
        <v>36</v>
      </c>
      <c r="F47" s="115" t="s">
        <v>73</v>
      </c>
      <c r="G47" s="115" t="s">
        <v>74</v>
      </c>
      <c r="H47" s="115" t="s">
        <v>37</v>
      </c>
      <c r="I47" s="115" t="s">
        <v>38</v>
      </c>
      <c r="J47" s="115" t="s">
        <v>15</v>
      </c>
      <c r="K47" s="115" t="s">
        <v>214</v>
      </c>
      <c r="L47" s="115" t="s">
        <v>39</v>
      </c>
    </row>
    <row r="48" spans="1:14" s="111" customFormat="1" ht="15" customHeight="1">
      <c r="A48" s="786"/>
      <c r="B48" s="786"/>
      <c r="C48" s="15" t="s">
        <v>351</v>
      </c>
      <c r="D48" s="786"/>
      <c r="E48" s="1">
        <v>1</v>
      </c>
      <c r="F48" s="305"/>
      <c r="G48" s="22">
        <v>1</v>
      </c>
      <c r="H48" s="22"/>
      <c r="I48" s="22">
        <v>1</v>
      </c>
      <c r="J48" s="22" t="s">
        <v>18</v>
      </c>
      <c r="K48" s="222"/>
      <c r="L48" s="15">
        <v>1981</v>
      </c>
      <c r="N48" s="341"/>
    </row>
    <row r="49" spans="1:12" s="111" customFormat="1" ht="15" customHeight="1">
      <c r="A49" s="786"/>
      <c r="B49" s="786"/>
      <c r="C49" s="222" t="s">
        <v>418</v>
      </c>
      <c r="D49" s="786"/>
      <c r="E49" s="15">
        <v>1</v>
      </c>
      <c r="F49" s="22">
        <v>1</v>
      </c>
      <c r="G49" s="22"/>
      <c r="H49" s="15"/>
      <c r="I49" s="22">
        <v>1</v>
      </c>
      <c r="J49" s="22" t="s">
        <v>212</v>
      </c>
      <c r="K49" s="222" t="s">
        <v>18</v>
      </c>
      <c r="L49" s="15">
        <v>2009</v>
      </c>
    </row>
    <row r="50" spans="1:12" s="215" customFormat="1" ht="15" customHeight="1">
      <c r="A50" s="1035" t="s">
        <v>22</v>
      </c>
      <c r="B50" s="1035"/>
      <c r="C50" s="310"/>
      <c r="D50" s="318"/>
      <c r="E50" s="104">
        <f>SUM(E48:E49)</f>
        <v>2</v>
      </c>
      <c r="F50" s="205">
        <f>SUM(F48:F49)</f>
        <v>1</v>
      </c>
      <c r="G50" s="205">
        <f>SUM(G48:G49)</f>
        <v>1</v>
      </c>
      <c r="H50" s="205">
        <f>SUM(H48:H49)</f>
        <v>0</v>
      </c>
      <c r="I50" s="205">
        <f>SUM(I48:I49)</f>
        <v>2</v>
      </c>
      <c r="J50" s="319"/>
      <c r="K50" s="207"/>
      <c r="L50" s="205"/>
    </row>
    <row r="51" spans="1:12" s="4" customFormat="1" ht="15" customHeight="1">
      <c r="A51" s="1027" t="s">
        <v>72</v>
      </c>
      <c r="B51" s="1027"/>
      <c r="C51" s="457"/>
      <c r="D51" s="313"/>
      <c r="E51" s="365"/>
      <c r="F51" s="314"/>
      <c r="G51" s="314"/>
      <c r="H51" s="314"/>
      <c r="I51" s="314"/>
      <c r="J51" s="315"/>
      <c r="K51" s="314"/>
      <c r="L51" s="314"/>
    </row>
    <row r="52" spans="1:12" s="50" customFormat="1" ht="42" customHeight="1">
      <c r="A52" s="39" t="s">
        <v>332</v>
      </c>
      <c r="B52" s="39" t="s">
        <v>333</v>
      </c>
      <c r="C52" s="115" t="s">
        <v>417</v>
      </c>
      <c r="D52" s="39" t="s">
        <v>213</v>
      </c>
      <c r="E52" s="115" t="s">
        <v>36</v>
      </c>
      <c r="F52" s="115" t="s">
        <v>73</v>
      </c>
      <c r="G52" s="115" t="s">
        <v>74</v>
      </c>
      <c r="H52" s="115" t="s">
        <v>37</v>
      </c>
      <c r="I52" s="115" t="s">
        <v>38</v>
      </c>
      <c r="J52" s="115" t="s">
        <v>15</v>
      </c>
      <c r="K52" s="115" t="s">
        <v>214</v>
      </c>
      <c r="L52" s="115" t="s">
        <v>39</v>
      </c>
    </row>
    <row r="53" spans="1:12" s="111" customFormat="1" ht="15" customHeight="1">
      <c r="A53" s="786"/>
      <c r="B53" s="786"/>
      <c r="C53" s="200" t="s">
        <v>351</v>
      </c>
      <c r="D53" s="786"/>
      <c r="E53" s="1">
        <v>1</v>
      </c>
      <c r="F53" s="22"/>
      <c r="G53" s="22">
        <v>1</v>
      </c>
      <c r="H53" s="22"/>
      <c r="I53" s="22">
        <v>1</v>
      </c>
      <c r="J53" s="1" t="s">
        <v>18</v>
      </c>
      <c r="K53" s="22"/>
      <c r="L53" s="2">
        <v>1982</v>
      </c>
    </row>
    <row r="54" spans="1:12" s="111" customFormat="1" ht="15" customHeight="1">
      <c r="A54" s="786"/>
      <c r="B54" s="786"/>
      <c r="C54" s="200" t="s">
        <v>419</v>
      </c>
      <c r="D54" s="786"/>
      <c r="E54" s="1">
        <v>1</v>
      </c>
      <c r="F54" s="22">
        <v>1</v>
      </c>
      <c r="G54" s="22"/>
      <c r="H54" s="22"/>
      <c r="I54" s="22">
        <v>1</v>
      </c>
      <c r="J54" s="22" t="s">
        <v>18</v>
      </c>
      <c r="K54" s="222"/>
      <c r="L54" s="22">
        <v>1973</v>
      </c>
    </row>
    <row r="55" spans="1:12" s="111" customFormat="1" ht="15" customHeight="1">
      <c r="A55" s="786"/>
      <c r="B55" s="786"/>
      <c r="C55" s="324" t="s">
        <v>338</v>
      </c>
      <c r="D55" s="786"/>
      <c r="E55" s="1">
        <v>1</v>
      </c>
      <c r="F55" s="22"/>
      <c r="G55" s="22">
        <v>1</v>
      </c>
      <c r="H55" s="22"/>
      <c r="I55" s="22">
        <v>1</v>
      </c>
      <c r="J55" s="22" t="s">
        <v>212</v>
      </c>
      <c r="K55" s="22" t="s">
        <v>18</v>
      </c>
      <c r="L55" s="22">
        <v>2009</v>
      </c>
    </row>
    <row r="56" spans="1:12" s="111" customFormat="1" ht="15" customHeight="1">
      <c r="A56" s="786"/>
      <c r="B56" s="786"/>
      <c r="C56" s="434" t="s">
        <v>338</v>
      </c>
      <c r="D56" s="786"/>
      <c r="E56" s="1">
        <v>1</v>
      </c>
      <c r="F56" s="22"/>
      <c r="G56" s="22">
        <v>1</v>
      </c>
      <c r="H56" s="22"/>
      <c r="I56" s="22">
        <v>1</v>
      </c>
      <c r="J56" s="22" t="s">
        <v>212</v>
      </c>
      <c r="K56" s="22" t="s">
        <v>18</v>
      </c>
      <c r="L56" s="22">
        <v>2011</v>
      </c>
    </row>
    <row r="57" spans="1:12" s="111" customFormat="1" ht="15" customHeight="1">
      <c r="A57" s="786"/>
      <c r="B57" s="786"/>
      <c r="C57" s="382" t="s">
        <v>419</v>
      </c>
      <c r="D57" s="786"/>
      <c r="E57" s="1">
        <v>1</v>
      </c>
      <c r="F57" s="22">
        <v>1</v>
      </c>
      <c r="G57" s="22"/>
      <c r="H57" s="22"/>
      <c r="I57" s="22">
        <v>1</v>
      </c>
      <c r="J57" s="222" t="s">
        <v>18</v>
      </c>
      <c r="K57" s="222"/>
      <c r="L57" s="2">
        <v>1980</v>
      </c>
    </row>
    <row r="58" spans="1:12" s="111" customFormat="1" ht="15" customHeight="1">
      <c r="A58" s="786"/>
      <c r="B58" s="786"/>
      <c r="C58" s="382" t="s">
        <v>418</v>
      </c>
      <c r="D58" s="786"/>
      <c r="E58" s="1">
        <v>1</v>
      </c>
      <c r="F58" s="22">
        <v>1</v>
      </c>
      <c r="G58" s="22"/>
      <c r="H58" s="22"/>
      <c r="I58" s="22">
        <v>1</v>
      </c>
      <c r="J58" s="22" t="s">
        <v>212</v>
      </c>
      <c r="K58" s="1" t="s">
        <v>18</v>
      </c>
      <c r="L58" s="2">
        <v>2012</v>
      </c>
    </row>
    <row r="59" spans="1:12" s="111" customFormat="1" ht="15" customHeight="1">
      <c r="A59" s="786"/>
      <c r="B59" s="786"/>
      <c r="C59" s="200" t="s">
        <v>459</v>
      </c>
      <c r="D59" s="786"/>
      <c r="E59" s="1">
        <v>1</v>
      </c>
      <c r="F59" s="22"/>
      <c r="G59" s="22">
        <v>1</v>
      </c>
      <c r="H59" s="22"/>
      <c r="I59" s="22">
        <v>1</v>
      </c>
      <c r="J59" s="22" t="s">
        <v>18</v>
      </c>
      <c r="K59" s="1"/>
      <c r="L59" s="2">
        <v>1971</v>
      </c>
    </row>
    <row r="60" spans="1:14" s="208" customFormat="1" ht="13.5" customHeight="1">
      <c r="A60" s="1036" t="s">
        <v>328</v>
      </c>
      <c r="B60" s="1036"/>
      <c r="C60" s="131"/>
      <c r="D60" s="131"/>
      <c r="E60" s="205">
        <f>SUM(E53:E59)</f>
        <v>7</v>
      </c>
      <c r="F60" s="205">
        <f>SUM(F53:F59)</f>
        <v>3</v>
      </c>
      <c r="G60" s="205">
        <f>SUM(G54:G58)</f>
        <v>2</v>
      </c>
      <c r="H60" s="205">
        <v>0</v>
      </c>
      <c r="I60" s="205">
        <f>SUM(I53:I59)</f>
        <v>7</v>
      </c>
      <c r="J60" s="131"/>
      <c r="K60" s="131"/>
      <c r="L60" s="131"/>
      <c r="N60" s="344"/>
    </row>
    <row r="61" spans="1:12" s="4" customFormat="1" ht="15" customHeight="1">
      <c r="A61" s="1027" t="s">
        <v>250</v>
      </c>
      <c r="B61" s="1027"/>
      <c r="C61" s="457"/>
      <c r="D61" s="313"/>
      <c r="E61" s="365"/>
      <c r="F61" s="314"/>
      <c r="G61" s="314"/>
      <c r="H61" s="314"/>
      <c r="I61" s="314"/>
      <c r="J61" s="315"/>
      <c r="K61" s="314"/>
      <c r="L61" s="314"/>
    </row>
    <row r="62" spans="1:12" s="50" customFormat="1" ht="42" customHeight="1">
      <c r="A62" s="39" t="s">
        <v>332</v>
      </c>
      <c r="B62" s="39" t="s">
        <v>333</v>
      </c>
      <c r="C62" s="115" t="s">
        <v>417</v>
      </c>
      <c r="D62" s="39" t="s">
        <v>213</v>
      </c>
      <c r="E62" s="115" t="s">
        <v>36</v>
      </c>
      <c r="F62" s="115" t="s">
        <v>73</v>
      </c>
      <c r="G62" s="115" t="s">
        <v>74</v>
      </c>
      <c r="H62" s="115" t="s">
        <v>37</v>
      </c>
      <c r="I62" s="115" t="s">
        <v>38</v>
      </c>
      <c r="J62" s="115" t="s">
        <v>15</v>
      </c>
      <c r="K62" s="115" t="s">
        <v>214</v>
      </c>
      <c r="L62" s="115" t="s">
        <v>39</v>
      </c>
    </row>
    <row r="63" spans="1:12" s="4" customFormat="1" ht="15" customHeight="1">
      <c r="A63" s="786"/>
      <c r="B63" s="786"/>
      <c r="C63" s="382" t="s">
        <v>418</v>
      </c>
      <c r="D63" s="786"/>
      <c r="E63" s="22">
        <v>1</v>
      </c>
      <c r="F63" s="22">
        <v>1</v>
      </c>
      <c r="G63" s="22"/>
      <c r="H63" s="22"/>
      <c r="I63" s="22">
        <v>1</v>
      </c>
      <c r="J63" s="22" t="s">
        <v>212</v>
      </c>
      <c r="K63" s="222" t="s">
        <v>427</v>
      </c>
      <c r="L63" s="77">
        <v>2006</v>
      </c>
    </row>
    <row r="64" spans="1:12" s="4" customFormat="1" ht="15" customHeight="1">
      <c r="A64" s="786"/>
      <c r="B64" s="786"/>
      <c r="C64" s="382" t="s">
        <v>418</v>
      </c>
      <c r="D64" s="786"/>
      <c r="E64" s="22">
        <v>1</v>
      </c>
      <c r="F64" s="22">
        <v>1</v>
      </c>
      <c r="G64" s="468"/>
      <c r="H64" s="468"/>
      <c r="I64" s="22">
        <v>1</v>
      </c>
      <c r="J64" s="22" t="s">
        <v>212</v>
      </c>
      <c r="K64" s="222" t="s">
        <v>427</v>
      </c>
      <c r="L64" s="77">
        <v>1998</v>
      </c>
    </row>
    <row r="65" spans="1:12" s="4" customFormat="1" ht="15" customHeight="1">
      <c r="A65" s="786"/>
      <c r="B65" s="786"/>
      <c r="C65" s="382" t="s">
        <v>418</v>
      </c>
      <c r="D65" s="786"/>
      <c r="E65" s="1">
        <v>1</v>
      </c>
      <c r="F65" s="22">
        <v>1</v>
      </c>
      <c r="G65" s="345"/>
      <c r="H65" s="345"/>
      <c r="I65" s="22">
        <v>1</v>
      </c>
      <c r="J65" s="22" t="s">
        <v>212</v>
      </c>
      <c r="K65" s="222" t="s">
        <v>427</v>
      </c>
      <c r="L65" s="77">
        <v>2002</v>
      </c>
    </row>
    <row r="66" spans="1:12" s="317" customFormat="1" ht="13.5" customHeight="1">
      <c r="A66" s="786"/>
      <c r="B66" s="786"/>
      <c r="C66" s="200" t="s">
        <v>351</v>
      </c>
      <c r="D66" s="786"/>
      <c r="E66" s="22">
        <v>1</v>
      </c>
      <c r="F66" s="285"/>
      <c r="G66" s="22">
        <v>1</v>
      </c>
      <c r="H66" s="22"/>
      <c r="I66" s="22">
        <v>1</v>
      </c>
      <c r="J66" s="21" t="s">
        <v>427</v>
      </c>
      <c r="K66" s="21"/>
      <c r="L66" s="77">
        <v>1972</v>
      </c>
    </row>
    <row r="67" spans="1:14" s="208" customFormat="1" ht="13.5" customHeight="1">
      <c r="A67" s="1035" t="s">
        <v>251</v>
      </c>
      <c r="B67" s="1035"/>
      <c r="C67" s="131"/>
      <c r="D67" s="131"/>
      <c r="E67" s="205">
        <f>SUM(E63:E66)</f>
        <v>4</v>
      </c>
      <c r="F67" s="205">
        <f>SUM(F64:F66)</f>
        <v>2</v>
      </c>
      <c r="G67" s="205">
        <f>SUM(G63:G64)</f>
        <v>0</v>
      </c>
      <c r="H67" s="205">
        <v>0</v>
      </c>
      <c r="I67" s="205">
        <v>4</v>
      </c>
      <c r="J67" s="131"/>
      <c r="K67" s="131"/>
      <c r="L67" s="131"/>
      <c r="N67" s="344"/>
    </row>
    <row r="68" spans="1:12" s="66" customFormat="1" ht="15" customHeight="1">
      <c r="A68" s="1037" t="s">
        <v>468</v>
      </c>
      <c r="B68" s="1037"/>
      <c r="C68" s="107"/>
      <c r="D68" s="107"/>
      <c r="E68" s="101">
        <f>E67+E60+E50+E45+E40+E31+E16+E12</f>
        <v>35</v>
      </c>
      <c r="F68" s="101">
        <f>F67+F60+F50+F45+F40+F31+F16+F12</f>
        <v>17</v>
      </c>
      <c r="G68" s="101">
        <f>G67+G60+G50+G45+G40+G31+G16+G12</f>
        <v>14</v>
      </c>
      <c r="H68" s="101">
        <f>H67+H60+H50+H45+H40+H31+H16+H12</f>
        <v>2</v>
      </c>
      <c r="I68" s="101">
        <f>I67+I60+I50+I45+I40+I31+I16+I12</f>
        <v>33</v>
      </c>
      <c r="J68" s="150"/>
      <c r="K68" s="350"/>
      <c r="L68" s="149"/>
    </row>
    <row r="70" spans="1:15" s="479" customFormat="1" ht="15.75" customHeight="1">
      <c r="A70" s="1023" t="s">
        <v>405</v>
      </c>
      <c r="B70" s="1024"/>
      <c r="C70" s="1024"/>
      <c r="D70" s="1024"/>
      <c r="E70" s="1024"/>
      <c r="F70" s="1024"/>
      <c r="G70" s="1024"/>
      <c r="H70" s="1024"/>
      <c r="I70" s="1024"/>
      <c r="J70" s="1024"/>
      <c r="K70" s="1024"/>
      <c r="L70" s="1025"/>
      <c r="M70" s="478"/>
      <c r="N70" s="478"/>
      <c r="O70" s="478"/>
    </row>
  </sheetData>
  <mergeCells count="24">
    <mergeCell ref="A50:B50"/>
    <mergeCell ref="A51:B51"/>
    <mergeCell ref="A35:B35"/>
    <mergeCell ref="A68:B68"/>
    <mergeCell ref="K1:L1"/>
    <mergeCell ref="A32:B32"/>
    <mergeCell ref="A34:B34"/>
    <mergeCell ref="A67:B67"/>
    <mergeCell ref="A40:B40"/>
    <mergeCell ref="A41:B41"/>
    <mergeCell ref="A45:B45"/>
    <mergeCell ref="A46:B46"/>
    <mergeCell ref="A60:B60"/>
    <mergeCell ref="A61:B61"/>
    <mergeCell ref="A70:L70"/>
    <mergeCell ref="A2:L2"/>
    <mergeCell ref="A3:B3"/>
    <mergeCell ref="A13:B13"/>
    <mergeCell ref="A20:B20"/>
    <mergeCell ref="A12:B12"/>
    <mergeCell ref="A16:B16"/>
    <mergeCell ref="A31:B31"/>
    <mergeCell ref="A17:B17"/>
    <mergeCell ref="A19:B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8"/>
  <sheetViews>
    <sheetView workbookViewId="0" topLeftCell="A1">
      <selection activeCell="A1" sqref="A1:D1"/>
    </sheetView>
  </sheetViews>
  <sheetFormatPr defaultColWidth="9.140625" defaultRowHeight="12.75"/>
  <cols>
    <col min="1" max="1" width="42.57421875" style="55" customWidth="1"/>
    <col min="2" max="2" width="25.421875" style="54" customWidth="1"/>
    <col min="3" max="3" width="26.28125" style="56" customWidth="1"/>
    <col min="4" max="4" width="57.00390625" style="25" customWidth="1"/>
    <col min="5" max="16384" width="11.57421875" style="54" customWidth="1"/>
  </cols>
  <sheetData>
    <row r="1" spans="1:4" s="48" customFormat="1" ht="30" customHeight="1">
      <c r="A1" s="1007" t="s">
        <v>331</v>
      </c>
      <c r="B1" s="1008"/>
      <c r="C1" s="1008"/>
      <c r="D1" s="1040"/>
    </row>
    <row r="2" spans="1:4" s="49" customFormat="1" ht="39.75" customHeight="1">
      <c r="A2" s="1038" t="s">
        <v>228</v>
      </c>
      <c r="B2" s="1038"/>
      <c r="C2" s="1039"/>
      <c r="D2" s="1039"/>
    </row>
    <row r="3" spans="1:4" s="51" customFormat="1" ht="15" customHeight="1">
      <c r="A3" s="31" t="s">
        <v>250</v>
      </c>
      <c r="B3" s="31"/>
      <c r="C3" s="58"/>
      <c r="D3" s="59"/>
    </row>
    <row r="4" spans="1:4" s="50" customFormat="1" ht="15" customHeight="1">
      <c r="A4" s="39" t="s">
        <v>56</v>
      </c>
      <c r="B4" s="39" t="s">
        <v>84</v>
      </c>
      <c r="C4" s="590" t="s">
        <v>40</v>
      </c>
      <c r="D4" s="68" t="s">
        <v>57</v>
      </c>
    </row>
    <row r="5" spans="1:4" s="52" customFormat="1" ht="15" customHeight="1">
      <c r="A5" s="591" t="s">
        <v>329</v>
      </c>
      <c r="B5" s="22" t="s">
        <v>53</v>
      </c>
      <c r="C5" s="45">
        <v>20.384</v>
      </c>
      <c r="D5" s="151">
        <v>16305.47</v>
      </c>
    </row>
    <row r="6" spans="1:4" s="52" customFormat="1" ht="15" customHeight="1">
      <c r="A6" s="591" t="s">
        <v>330</v>
      </c>
      <c r="B6" s="22" t="s">
        <v>53</v>
      </c>
      <c r="C6" s="128">
        <v>23.76</v>
      </c>
      <c r="D6" s="151">
        <f>(72+89+72+54)*C6</f>
        <v>6819.120000000001</v>
      </c>
    </row>
    <row r="7" spans="1:4" s="52" customFormat="1" ht="15" customHeight="1">
      <c r="A7" s="591" t="s">
        <v>51</v>
      </c>
      <c r="B7" s="22"/>
      <c r="C7" s="128"/>
      <c r="D7" s="151">
        <f>1568.42*4-6819.12</f>
        <v>-545.4399999999996</v>
      </c>
    </row>
    <row r="8" spans="1:4" s="157" customFormat="1" ht="15" customHeight="1">
      <c r="A8" s="107" t="s">
        <v>251</v>
      </c>
      <c r="B8" s="100"/>
      <c r="C8" s="187"/>
      <c r="D8" s="150">
        <f>SUM(D5:D7)</f>
        <v>22579.15</v>
      </c>
    </row>
  </sheetData>
  <mergeCells count="2">
    <mergeCell ref="A2:D2"/>
    <mergeCell ref="A1:D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C4"/>
  <sheetViews>
    <sheetView workbookViewId="0" topLeftCell="A1">
      <selection activeCell="G2" sqref="G2"/>
    </sheetView>
  </sheetViews>
  <sheetFormatPr defaultColWidth="9.140625" defaultRowHeight="12.75"/>
  <cols>
    <col min="1" max="1" width="42.8515625" style="55" customWidth="1"/>
    <col min="2" max="3" width="40.421875" style="54" customWidth="1"/>
    <col min="4" max="16384" width="11.57421875" style="54" customWidth="1"/>
  </cols>
  <sheetData>
    <row r="1" spans="1:3" s="48" customFormat="1" ht="30" customHeight="1">
      <c r="A1" s="1007" t="s">
        <v>125</v>
      </c>
      <c r="B1" s="1008"/>
      <c r="C1" s="458">
        <v>40070183</v>
      </c>
    </row>
    <row r="2" spans="1:3" s="49" customFormat="1" ht="54.75" customHeight="1">
      <c r="A2" s="1041" t="s">
        <v>253</v>
      </c>
      <c r="B2" s="1042"/>
      <c r="C2" s="1043"/>
    </row>
    <row r="4" ht="12.75">
      <c r="A4" s="54" t="s">
        <v>252</v>
      </c>
    </row>
  </sheetData>
  <mergeCells count="2">
    <mergeCell ref="A2:C2"/>
    <mergeCell ref="A1:B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LTorri</cp:lastModifiedBy>
  <cp:lastPrinted>2013-05-20T21:50:09Z</cp:lastPrinted>
  <dcterms:created xsi:type="dcterms:W3CDTF">2011-02-15T18:46:20Z</dcterms:created>
  <dcterms:modified xsi:type="dcterms:W3CDTF">2013-06-25T10:56:48Z</dcterms:modified>
  <cp:category/>
  <cp:version/>
  <cp:contentType/>
  <cp:contentStatus/>
</cp:coreProperties>
</file>