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830" tabRatio="938" firstSheet="1" activeTab="1"/>
  </bookViews>
  <sheets>
    <sheet name="Indice" sheetId="1" r:id="rId1"/>
    <sheet name="Progetto Badando" sheetId="2" r:id="rId2"/>
    <sheet name="Badando Sempre" sheetId="3" r:id="rId3"/>
    <sheet name="Dimissioni protette" sheetId="4" r:id="rId4"/>
    <sheet name="Assistenza Domiciliare" sheetId="5" r:id="rId5"/>
    <sheet name="Fornitura pasti " sheetId="6" r:id="rId6"/>
    <sheet name="Trasporto" sheetId="7" r:id="rId7"/>
    <sheet name="Lavanderia" sheetId="8" r:id="rId8"/>
    <sheet name="Telesoccorso" sheetId="9" r:id="rId9"/>
    <sheet name="Pulizia alloggi" sheetId="10" r:id="rId10"/>
    <sheet name="Centri Diurni " sheetId="11" r:id="rId11"/>
    <sheet name="Alloggi Protetti" sheetId="12" r:id="rId12"/>
    <sheet name="Casa Protetta" sheetId="13" r:id="rId13"/>
    <sheet name="Contributi economici" sheetId="14" r:id="rId14"/>
    <sheet name="Rette residenziali" sheetId="15" r:id="rId15"/>
    <sheet name="Amministratori di sostegno" sheetId="16" r:id="rId16"/>
  </sheets>
  <definedNames>
    <definedName name="_xlnm._FilterDatabase" localSheetId="1" hidden="1">'Progetto Badando'!$L$130:$L$194</definedName>
    <definedName name="_xlnm.Print_Area" localSheetId="2">'Badando Sempre'!$A$1:$M$89</definedName>
    <definedName name="_xlnm.Print_Area" localSheetId="13">'Contributi economici'!$A$1:$M$70</definedName>
  </definedNames>
  <calcPr fullCalcOnLoad="1"/>
</workbook>
</file>

<file path=xl/sharedStrings.xml><?xml version="1.0" encoding="utf-8"?>
<sst xmlns="http://schemas.openxmlformats.org/spreadsheetml/2006/main" count="3326" uniqueCount="196">
  <si>
    <t>28/0472012</t>
  </si>
  <si>
    <t>Nome</t>
  </si>
  <si>
    <t>Cognome</t>
  </si>
  <si>
    <t>Codice Fiscale</t>
  </si>
  <si>
    <t>Germania</t>
  </si>
  <si>
    <t xml:space="preserve">Cognome </t>
  </si>
  <si>
    <t>40070121 - 40070125</t>
  </si>
  <si>
    <t>*</t>
  </si>
  <si>
    <t>Egitto</t>
  </si>
  <si>
    <t>Eritrea</t>
  </si>
  <si>
    <t>Albania</t>
  </si>
  <si>
    <t>Tunisia</t>
  </si>
  <si>
    <t>Centro</t>
  </si>
  <si>
    <t>Totale</t>
  </si>
  <si>
    <t xml:space="preserve">BAZZANO </t>
  </si>
  <si>
    <t>Biagini</t>
  </si>
  <si>
    <t>Riale</t>
  </si>
  <si>
    <t xml:space="preserve">CENTRI DIURNI </t>
  </si>
  <si>
    <t>TOTALE CENTRI DEL DISTRETTO</t>
  </si>
  <si>
    <t xml:space="preserve">Costo annuo </t>
  </si>
  <si>
    <r>
      <t xml:space="preserve">Cognome </t>
    </r>
    <r>
      <rPr>
        <sz val="10"/>
        <rFont val="Helvetica"/>
        <family val="0"/>
      </rPr>
      <t xml:space="preserve">                        </t>
    </r>
  </si>
  <si>
    <t>Servizio</t>
  </si>
  <si>
    <t>Contributo</t>
  </si>
  <si>
    <t>Struttura protetta</t>
  </si>
  <si>
    <t>Badante</t>
  </si>
  <si>
    <t>Centro Diurno</t>
  </si>
  <si>
    <t>Quota annua utente</t>
  </si>
  <si>
    <t>Serbia</t>
  </si>
  <si>
    <t xml:space="preserve">Cognome                         </t>
  </si>
  <si>
    <t xml:space="preserve">TOTALE MONTEVEGLIO </t>
  </si>
  <si>
    <t xml:space="preserve">MONTE SAN PIETRO </t>
  </si>
  <si>
    <t xml:space="preserve">TOTALE MONTE SAN PIETRO </t>
  </si>
  <si>
    <t xml:space="preserve">TOTALE SASSO MARCONI </t>
  </si>
  <si>
    <t>India</t>
  </si>
  <si>
    <t>Rette CP 40071171</t>
  </si>
  <si>
    <r>
      <t xml:space="preserve">Cognome </t>
    </r>
    <r>
      <rPr>
        <sz val="10"/>
        <rFont val="Helvetica"/>
        <family val="2"/>
      </rPr>
      <t xml:space="preserve">                        </t>
    </r>
  </si>
  <si>
    <t>Ore corso</t>
  </si>
  <si>
    <t>Ucraina</t>
  </si>
  <si>
    <t>Badando Distrettuale</t>
  </si>
  <si>
    <t>Badando Pacchetti</t>
  </si>
  <si>
    <t>Badando Sollievo</t>
  </si>
  <si>
    <t>24h</t>
  </si>
  <si>
    <t>Diurno</t>
  </si>
  <si>
    <t>Moldova</t>
  </si>
  <si>
    <t>Badando Sempre INPDAP</t>
  </si>
  <si>
    <t>Il numero degli utenti maschi/femmine è determinato sul numero complessivo di utenti che nel corso dell'anno hanno utilizzato il Servizio</t>
  </si>
  <si>
    <t>Si tratta degli alloggi siti presso Villa Magri la cui gestione economica  è assegnata ad ACER</t>
  </si>
  <si>
    <t>Costo del Servizio</t>
  </si>
  <si>
    <t>Assistenza Domiciliare</t>
  </si>
  <si>
    <t xml:space="preserve">Centro Diurno </t>
  </si>
  <si>
    <t>Telesoccorso + Pasti</t>
  </si>
  <si>
    <t xml:space="preserve">Assistenza Domiciliare </t>
  </si>
  <si>
    <t>Tempo Libero</t>
  </si>
  <si>
    <t>Centro Diurno + Trasporto</t>
  </si>
  <si>
    <t xml:space="preserve">BADANDO SEMPRE INPDAP </t>
  </si>
  <si>
    <t>Il numero degli utenti maschi/femmine è determinato sul numero complessivo di utenti iscritti al servizio nell'anno 2012</t>
  </si>
  <si>
    <t>Sasso Marconi</t>
  </si>
  <si>
    <t>Badando Sempre consiste nell'erogazione di contributi economici a sostegno dell'assistenza familiare. Gli interventi sono rivolti a dipendenti pubblici e pensionati/e INPDAP, loro coniugi, conviventi e familiari di primo grado, non autosufficienti, residenti nel Distretto di Casalecchio di Reno. Il progetto è stato arttivato nel mese di marzo 2012. I dati economici riguardano il periodo 01.04.2012 - 31.01.2013.</t>
  </si>
  <si>
    <t xml:space="preserve">Servizio di trasporto per visite mediche specialistiche o altre necessità similari. Il Servizio è rivolto a persone anziane che non necessitano di mezzo sanitario ma che hanno difficoltà a organizzarsi attraverso le proprie reti familiari. Il Servizio viene svolto in convenzione con le Associazioni di volontariato presenti su ciascun territorio comunale. </t>
  </si>
  <si>
    <t>Il Centro Diurno è un Servizio socio-sanitario di accoglienza diurna per persone anziane con diverso grado di non autosufficienza. Le richieste di inserimento sono valutate dall'Unità di Valutazione Geriatrica Territoriale (UVGT) che gestisce anche la graduatoria distrettuale.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ciascun/a ospite. La capacità ricettiva dei Centri Diurni va da un minimo di venti ad un massimo di venticinque ospiti. L'apertura giornaliera copre un arco temporale che va dalle 8.00 alle 18.00.</t>
  </si>
  <si>
    <t>Residenza per anziani/e non autosufficienti di grado medio ed elevato, valutati dall'Unità di Valutazione Geriatrica Territoriale (UVGT) e inseriti nell'apposita graduatoria distrettuale. Accoglie fino a un massimo di settanta ospiti.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ciascun/a ospite.</t>
  </si>
  <si>
    <t>Erogazione di contributi in denaro destinati a fasce deboli di popolazione per problematiche sociali di varia natura (integrazione pagamento affitto e utenze) e a sostegno dei costi di Strutture (Casa di Riposo, Casa Famiglia Casa Protetta).</t>
  </si>
  <si>
    <t>Contributi economici destinati ad anziani/e residenti in struttura in situazione di disagio economico e in assenza di familiari con capacità contributiva.</t>
  </si>
  <si>
    <t>L'amministrazione di sostegno è un importante strumento di gestione delle problematiche di persone anziane non autosufficienti o disabili. Consiste nell'individuazione di un referente, spesso un/a professionista, in grado di attivare e seguire i progetti assistenziali per conto della persona di cui è amministratore. Può svolgere funzioni di gestione del patrimonio e collaborare con il Servizio Sociale nella definizione e realizzazione del progetto di aiuto.</t>
  </si>
  <si>
    <t xml:space="preserve">TELESOCCORSO  </t>
  </si>
  <si>
    <t>Il Servizio garantisce lavaggio e stiratura di biancheria e abiti a persone con limiti di autosufficienza per le quali l'Assistente Sociale valuta importante supportare la domiciliarità. Il Servizio è accessorio a quello di Assistenza Domiciliare (SAD).</t>
  </si>
  <si>
    <t>Il Servizio garantisce quotidianamente la consegna di pasti a domicilio a persone con limiti di autosufficienza per le quali l'Assistente Sociale valuta importante supportare la domiciliarità. I pasti vengono forniti di norma dal lunedì al sabato e in alcuni Comuni anche la domenica e i giorni festivi. Il Servizio è accessorio a quello di Assistenza Domiciliare (SAD).</t>
  </si>
  <si>
    <t>CONTRIBUTI ECONOMICI</t>
  </si>
  <si>
    <t xml:space="preserve">RETTE RESIDENZIALI  </t>
  </si>
  <si>
    <t>AMMINISTRATORI DI SOSTEGNO</t>
  </si>
  <si>
    <t xml:space="preserve">Gli Alloggi Protetti sono strutture residenziali riservate a persone anziane o a persone con disabilità media. Sono stati pensati, progettati e realizzati al fine di prevenire ricoveri in strutture residenziali e per offrire una possibilità di vita autonoma in un ambiente privo di barriere, sicuro, controllato e confortevole. L'accesso agli Alloggi Protetti viene valutato dall'Assistente Sociale. Sul territorio distrettuale gli Alloggi Protetti sono presenti solo a Casalecchio di Reno. </t>
  </si>
  <si>
    <t>Il Servizio garantisce la pulizia degli alloggi a persone con limiti di autosufficienza per le quali l'Assistente Sociale valuta importante supportare la domiciliarità. Il Servizio è accessorio a quello di Assistenza Domiciliare (SAD). Il Servizio di pulizia è stato affidato a una Cooperativa che impiega personale svantaggiato (di tipo B) in un'ottica di promozione della solidarietà.</t>
  </si>
  <si>
    <t>ALLOGGI PROTETTI</t>
  </si>
  <si>
    <t>Assistenza Domiciliare e Assistenza Domicliare Integrata</t>
  </si>
  <si>
    <t>Pulizia alloggi</t>
  </si>
  <si>
    <t>Alloggi Protetti</t>
  </si>
  <si>
    <t>Rette residenziali</t>
  </si>
  <si>
    <t>BAZZANO</t>
  </si>
  <si>
    <t>CASALECCHIO DI RENO</t>
  </si>
  <si>
    <t>CASTELLO DI SERRAVALLE</t>
  </si>
  <si>
    <t>CRESPELLANO</t>
  </si>
  <si>
    <t>MONTE SAN PIETRO</t>
  </si>
  <si>
    <t>MONTEVEGLIO</t>
  </si>
  <si>
    <t>SASSO MARCONI</t>
  </si>
  <si>
    <t>SAVIGNO</t>
  </si>
  <si>
    <t>ZOLA PREDOSA</t>
  </si>
  <si>
    <t>Zola Predosa</t>
  </si>
  <si>
    <t>DIMISSIONI PROTETTE</t>
  </si>
  <si>
    <t xml:space="preserve"> </t>
  </si>
  <si>
    <t xml:space="preserve">  </t>
  </si>
  <si>
    <t>M</t>
  </si>
  <si>
    <t>F</t>
  </si>
  <si>
    <t>PROGETTO BADANDO</t>
  </si>
  <si>
    <t>TOTALE BAZZANO</t>
  </si>
  <si>
    <t>TOTALE CASALECCHIO DI RENO</t>
  </si>
  <si>
    <t>TOTALE CASTELLO DI SERRAVALLE</t>
  </si>
  <si>
    <t>TOTALE CRESPELLANO</t>
  </si>
  <si>
    <t>TOTALE MONTE SAN PIETRO</t>
  </si>
  <si>
    <t>TOTALE SASSO MARCONI</t>
  </si>
  <si>
    <t>TOTALE SAVIGNO</t>
  </si>
  <si>
    <t>TOTALE ZOLA PREDOSA</t>
  </si>
  <si>
    <t>Fornitura pasti</t>
  </si>
  <si>
    <t>Trasporto</t>
  </si>
  <si>
    <t>Lavanderia</t>
  </si>
  <si>
    <t>Telesoccorso</t>
  </si>
  <si>
    <t>Contributi economici</t>
  </si>
  <si>
    <t>Amministratori di sostegno</t>
  </si>
  <si>
    <t>Dimissioni protette</t>
  </si>
  <si>
    <t>Centri Diurni</t>
  </si>
  <si>
    <t>Casa Protetta di Crespellano</t>
  </si>
  <si>
    <t>Progetto Badando</t>
  </si>
  <si>
    <t>AREA ANZIANI</t>
  </si>
  <si>
    <t>TOTALE DISTRETTO</t>
  </si>
  <si>
    <t>CORSO PER ASSISTENTI FAMILIARI A DOMICILIO</t>
  </si>
  <si>
    <t>COLLOQUI DI INSERIMENTO NELLA LISTA</t>
  </si>
  <si>
    <t>L'Assistenza Domiciliare (SAD) è un Servizio rivolto a persone con limiti di autosufficienza che ha l'obiettivo di promuovere o mantenere condizioni di vita indipendente presso il domicilio. Il Servizio garantisce assistenza temporanea o prolungata per favorire il recupero e/o il mantenimento delle capacità residue attraverso l'assistenza di personale qualificato per l'igiene della persona, per la cura dell'alloggio, l'integrazione sociale, la gestione del menage quotidiano. L'Assistenza Domiciliare Integrata (ADI) è un Servizio rivolto a persone certificate non autosufficienti secondo le direttive regionali dall'Unità di Valutazione Geriatrica Territoriale (UVGT). Il Servizio viene svolto in forma integrata con figure sanitarie.</t>
  </si>
  <si>
    <t>Svizzera</t>
  </si>
  <si>
    <t>CASA PROTETTA CRESPELLANO</t>
  </si>
  <si>
    <t>Comune</t>
  </si>
  <si>
    <t>Anno di nascita</t>
  </si>
  <si>
    <t>Utenti</t>
  </si>
  <si>
    <t>Cooperativa</t>
  </si>
  <si>
    <t>Ore fatturate</t>
  </si>
  <si>
    <t>Costo intervento</t>
  </si>
  <si>
    <t>Costo annuo utente</t>
  </si>
  <si>
    <t xml:space="preserve"> Giorni di presenza</t>
  </si>
  <si>
    <t>Media giornaliera</t>
  </si>
  <si>
    <t>Stranieri</t>
  </si>
  <si>
    <t>Luogo</t>
  </si>
  <si>
    <t>Periodo</t>
  </si>
  <si>
    <t>60h</t>
  </si>
  <si>
    <t xml:space="preserve">Contributo CEFAL </t>
  </si>
  <si>
    <t>Docenti</t>
  </si>
  <si>
    <t>Spesa complessiva</t>
  </si>
  <si>
    <t>Struttura Protetta</t>
  </si>
  <si>
    <t>Arabia Saudita</t>
  </si>
  <si>
    <t>40070133/4</t>
  </si>
  <si>
    <t>ADI/SAD</t>
  </si>
  <si>
    <t>SAD</t>
  </si>
  <si>
    <t>ADI</t>
  </si>
  <si>
    <t>Italiani</t>
  </si>
  <si>
    <t>Pasti consegnati</t>
  </si>
  <si>
    <t>Ca' Mazzetti</t>
  </si>
  <si>
    <t xml:space="preserve">Italiani </t>
  </si>
  <si>
    <t xml:space="preserve">Stranieri </t>
  </si>
  <si>
    <t>Costo complessivo</t>
  </si>
  <si>
    <t>TOTALE MONTEVEGLIO</t>
  </si>
  <si>
    <t>Integrazione del reddito</t>
  </si>
  <si>
    <t>CORSO OPERATORE SOCIO SANITARIO (OSS)</t>
  </si>
  <si>
    <t>90h di cui 66h di teoria e 24h di tirocinio in affiancamento alle oss del Distretto</t>
  </si>
  <si>
    <t>Pedrini</t>
  </si>
  <si>
    <t>Villa Magri</t>
  </si>
  <si>
    <t>Ancora</t>
  </si>
  <si>
    <t xml:space="preserve">ASSISTENZA DOMICILIARE E ASSISTENZA DOMICILIARE INTEGRATA                               </t>
  </si>
  <si>
    <t xml:space="preserve">FORNITURA PASTI                                                                                     </t>
  </si>
  <si>
    <t xml:space="preserve">TRASPORTO                                                                                                  </t>
  </si>
  <si>
    <t xml:space="preserve">LAVANDERIA                                                                                                                                       </t>
  </si>
  <si>
    <t xml:space="preserve">PULIZIA ALLOGGI                                                                                             </t>
  </si>
  <si>
    <t>15 (geriatre, infermiere, fisioterapiste dell' Ausl del Distretto di Casalecchio di Reno)</t>
  </si>
  <si>
    <t>Provenienza</t>
  </si>
  <si>
    <t>Italia</t>
  </si>
  <si>
    <t>Marocco</t>
  </si>
  <si>
    <t>Moldavia</t>
  </si>
  <si>
    <t>Polonia</t>
  </si>
  <si>
    <t>Rumania</t>
  </si>
  <si>
    <t>Bulgaria</t>
  </si>
  <si>
    <t>Nigeria</t>
  </si>
  <si>
    <t>Romania</t>
  </si>
  <si>
    <t>Camerun</t>
  </si>
  <si>
    <t>Bielorussia</t>
  </si>
  <si>
    <t>Etiopia</t>
  </si>
  <si>
    <t>Bangladesh</t>
  </si>
  <si>
    <t>Ore</t>
  </si>
  <si>
    <t>Ore SAD</t>
  </si>
  <si>
    <t>* Non inseriti i costi del centro socio-ricreativo</t>
  </si>
  <si>
    <t>Ore    svolte</t>
  </si>
  <si>
    <t>Filippine</t>
  </si>
  <si>
    <t>Cuba</t>
  </si>
  <si>
    <t>Ottobre 2012 Giugno 2013</t>
  </si>
  <si>
    <t xml:space="preserve">Iscritte/i </t>
  </si>
  <si>
    <t>Tutoraggio ASC</t>
  </si>
  <si>
    <t>?</t>
  </si>
  <si>
    <t>* I costi qui indicati non considerano le spese per i funerali di persone indigenti ne' i buoni spesa</t>
  </si>
  <si>
    <t>24h/Diurno</t>
  </si>
  <si>
    <t>Le dimissioni protette sono un Servizio socio-assistenziale integrato di presa in carico domiciliare. Hanno lo scopo di garantire continuità nelle cure a seguito di dimissioni ospedaliere o eventi che modificano la situazione assistenziale e che richiedono un supporto, sia per le attività quotidiane di cura, sia per la ridefinizione del programma assistenziale.</t>
  </si>
  <si>
    <t>Costo totale Servizio</t>
  </si>
  <si>
    <t>Servizio di teleassistenza fornito attraverso le Associazioni di Pubblica Assistenza presenti sul territorio. Il Servizio assicura il monitoraggio delle situazioni problematiche e l'attivazione di interventi di assistenza, sia attraverso il ricorso alle reti formali che a quelle familiari.</t>
  </si>
  <si>
    <t xml:space="preserve">Il costo del servizio su Cà Mazzetti è al netto delle entrate </t>
  </si>
  <si>
    <t>Badando è un progetto che cerca di conciliare i bisogni di assistenza delle famiglie e la necessità delle/dei badanti di garanzia e tutela del proprio lavoro. Le sue azioni principali sono la formazione e l'aggiornamento delle/dei badanti, la gestione di una lista distrettuale di badanti qualificate/i, l'accompagnamento delle/dei badanti e delle famiglie nella regolarizzazione lavorativa, il tutoraggio e la supervisione del  lavoro delle/dei badanti, la gestione di uno sportello di ascolto per badanti. Badando può essere attivato per periodi più (Badando Distrettuale) o meno (Badando Pacchetti e Badando Sollievo) lunghi e per più o meno ore giornaliere. Se le/gli utenti sono in possesso di determinati requisiti economici possono fare richiesta di un contributo una tantum.</t>
  </si>
  <si>
    <t>TOTALE CENTRO DIURNO PEDRINI</t>
  </si>
  <si>
    <t>TOTALE CENTRO DIURNO VILLA MAGRI</t>
  </si>
  <si>
    <t>TOTALE CENTRO DIURNO CA' MAZZETTI</t>
  </si>
  <si>
    <t>TOTALE CENTRO DIURNO SASSO MARCONI</t>
  </si>
  <si>
    <t>TOTALE CENTRO DIURNO BIAGINI</t>
  </si>
  <si>
    <t>TOTALE CENTRO DIURNO RIALE</t>
  </si>
  <si>
    <t>Costo  Servizio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</si>
</sst>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410]dddd\ d\ mmmm\ yyyy"/>
    <numFmt numFmtId="166" formatCode="hh:mm:ss"/>
    <numFmt numFmtId="167" formatCode="\€* #,##0.00"/>
    <numFmt numFmtId="168" formatCode="[$€-2]\ #,##0.00"/>
    <numFmt numFmtId="169" formatCode="#,##0.00_ ;\-#,##0.00\ "/>
    <numFmt numFmtId="170" formatCode="mmm\-yyyy"/>
    <numFmt numFmtId="171" formatCode="_-* #,##0.00_-;\-* #,##0.00_-;_-* &quot;-&quot;_-;_-@_-"/>
    <numFmt numFmtId="172" formatCode="_-* #,##0_-;\-* #,##0_-;_-* &quot;-&quot;??_-;_-@_-"/>
    <numFmt numFmtId="173" formatCode="_-* #,##0.0_-;\-* #,##0.0_-;_-* &quot;-&quot;_-;_-@_-"/>
    <numFmt numFmtId="174" formatCode="_(* #,##0_);_(* \(#,##0\);_(* &quot;-&quot;_);_(@_)"/>
    <numFmt numFmtId="175" formatCode="\ #,##0.00;\-\ #,##0.00"/>
    <numFmt numFmtId="176" formatCode="_-[$€-2]\ * #,##0.00_-;\-[$€-2]\ * #,##0.00_-;_-[$€-2]\ * &quot;-&quot;??_-"/>
    <numFmt numFmtId="177" formatCode="&quot;Sì&quot;;&quot;Sì&quot;;&quot;No&quot;"/>
    <numFmt numFmtId="178" formatCode="&quot;Vero&quot;;&quot;Vero&quot;;&quot;Falso&quot;"/>
    <numFmt numFmtId="179" formatCode="&quot;Attivo&quot;;&quot;Attivo&quot;;&quot;Disattivo&quot;"/>
    <numFmt numFmtId="180" formatCode="[$€-2]\ #.##000_);[Red]\([$€-2]\ #.##000\)"/>
    <numFmt numFmtId="181" formatCode="&quot;€&quot;\ #,##0"/>
    <numFmt numFmtId="182" formatCode="_-&quot;L.&quot;\ * #,##0.00_-;\-&quot;L.&quot;\ * #,##0.00_-;_-&quot;L.&quot;\ * &quot;-&quot;??_-;_-@_-"/>
    <numFmt numFmtId="183" formatCode="_-&quot;L.&quot;\ * #,##0_-;\-&quot;L.&quot;\ * #,##0_-;_-&quot;L.&quot;\ * &quot;-&quot;_-;_-@_-"/>
    <numFmt numFmtId="184" formatCode="#,##0_ ;\-#,##0\ "/>
    <numFmt numFmtId="185" formatCode="#,##0.0"/>
    <numFmt numFmtId="186" formatCode="dd/mm/yy"/>
    <numFmt numFmtId="187" formatCode="_-[$€]\ * #,##0.00_-;\-[$€]\ * #,##0.00_-;_-[$€]\ * &quot;-&quot;??_-;_-@_-"/>
  </numFmts>
  <fonts count="48">
    <font>
      <sz val="10"/>
      <name val="Arial"/>
      <family val="0"/>
    </font>
    <font>
      <u val="single"/>
      <sz val="10"/>
      <color indexed="12"/>
      <name val="Arial"/>
      <family val="0"/>
    </font>
    <font>
      <u val="single"/>
      <sz val="10"/>
      <color indexed="20"/>
      <name val="Arial"/>
      <family val="0"/>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Helvetica"/>
      <family val="0"/>
    </font>
    <font>
      <sz val="10"/>
      <name val="Helvetica"/>
      <family val="0"/>
    </font>
    <font>
      <sz val="16"/>
      <name val="Helvetica"/>
      <family val="0"/>
    </font>
    <font>
      <sz val="12"/>
      <name val="Helvetica"/>
      <family val="0"/>
    </font>
    <font>
      <sz val="10"/>
      <color indexed="8"/>
      <name val="HELVETICA"/>
      <family val="0"/>
    </font>
    <font>
      <b/>
      <sz val="12"/>
      <name val="Helvetica"/>
      <family val="0"/>
    </font>
    <font>
      <sz val="14"/>
      <name val="HELVETICA"/>
      <family val="0"/>
    </font>
    <font>
      <sz val="8"/>
      <name val="Arial"/>
      <family val="0"/>
    </font>
    <font>
      <sz val="10"/>
      <color indexed="8"/>
      <name val="Helvetica"/>
      <family val="2"/>
    </font>
    <font>
      <sz val="10"/>
      <color indexed="8"/>
      <name val="MS Sans Serif"/>
      <family val="0"/>
    </font>
    <font>
      <sz val="8"/>
      <name val="Tahoma"/>
      <family val="2"/>
    </font>
    <font>
      <b/>
      <sz val="16"/>
      <name val="Helvetica"/>
      <family val="0"/>
    </font>
    <font>
      <sz val="12"/>
      <color indexed="8"/>
      <name val="Helvetica"/>
      <family val="2"/>
    </font>
    <font>
      <b/>
      <sz val="12"/>
      <color indexed="49"/>
      <name val="Helvetica"/>
      <family val="2"/>
    </font>
    <font>
      <sz val="10"/>
      <color indexed="10"/>
      <name val="Helvetica"/>
      <family val="2"/>
    </font>
    <font>
      <sz val="8"/>
      <name val="Helvetica"/>
      <family val="2"/>
    </font>
    <font>
      <sz val="9"/>
      <name val="Helvetica"/>
      <family val="2"/>
    </font>
    <font>
      <b/>
      <sz val="14"/>
      <name val="Helvetica"/>
      <family val="2"/>
    </font>
    <font>
      <sz val="9.95"/>
      <color indexed="8"/>
      <name val="Helvetica"/>
      <family val="2"/>
    </font>
    <font>
      <b/>
      <i/>
      <sz val="11"/>
      <name val="Helvetica"/>
      <family val="2"/>
    </font>
    <font>
      <sz val="16"/>
      <color indexed="8"/>
      <name val="Helvetica"/>
      <family val="2"/>
    </font>
    <font>
      <b/>
      <sz val="8"/>
      <name val="Helvetica"/>
      <family val="2"/>
    </font>
    <font>
      <b/>
      <sz val="8"/>
      <color indexed="49"/>
      <name val="Helvetica"/>
      <family val="2"/>
    </font>
    <font>
      <sz val="10"/>
      <color indexed="49"/>
      <name val="Helvetica"/>
      <family val="2"/>
    </font>
    <font>
      <sz val="8"/>
      <color indexed="8"/>
      <name val="Helvetica"/>
      <family val="2"/>
    </font>
    <font>
      <b/>
      <sz val="10"/>
      <color indexed="49"/>
      <name val="Helvetica"/>
      <family val="2"/>
    </font>
    <font>
      <b/>
      <sz val="10"/>
      <color indexed="8"/>
      <name val="Helvetic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solid">
        <fgColor indexed="41"/>
        <bgColor indexed="64"/>
      </patternFill>
    </fill>
    <fill>
      <patternFill patternType="gray0625"/>
    </fill>
    <fill>
      <patternFill patternType="gray0625">
        <bgColor indexed="9"/>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44" fontId="0" fillId="0" borderId="0" applyFont="0" applyFill="0" applyBorder="0" applyAlignment="0" applyProtection="0"/>
    <xf numFmtId="0" fontId="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0" applyNumberFormat="0" applyBorder="0" applyAlignment="0" applyProtection="0"/>
    <xf numFmtId="0" fontId="3" fillId="0" borderId="0">
      <alignment/>
      <protection/>
    </xf>
    <xf numFmtId="0" fontId="30" fillId="0" borderId="0">
      <alignment/>
      <protection/>
    </xf>
    <xf numFmtId="0" fontId="0" fillId="23" borderId="4" applyNumberForma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1">
    <xf numFmtId="0" fontId="0" fillId="0" borderId="0" xfId="0" applyAlignment="1">
      <alignment/>
    </xf>
    <xf numFmtId="0" fontId="22" fillId="0" borderId="0" xfId="0" applyFont="1" applyAlignment="1">
      <alignment/>
    </xf>
    <xf numFmtId="0" fontId="22" fillId="0" borderId="10" xfId="0" applyFont="1" applyBorder="1" applyAlignment="1">
      <alignment/>
    </xf>
    <xf numFmtId="0" fontId="22" fillId="24" borderId="10" xfId="0" applyFont="1" applyFill="1" applyBorder="1" applyAlignment="1">
      <alignment horizontal="center" vertical="center"/>
    </xf>
    <xf numFmtId="0" fontId="24" fillId="25" borderId="10" xfId="0" applyFont="1" applyFill="1" applyBorder="1" applyAlignment="1">
      <alignment horizontal="center"/>
    </xf>
    <xf numFmtId="0" fontId="24" fillId="0" borderId="0" xfId="0" applyFont="1" applyAlignment="1">
      <alignment/>
    </xf>
    <xf numFmtId="0" fontId="24" fillId="25" borderId="10" xfId="0" applyFont="1" applyFill="1" applyBorder="1" applyAlignment="1">
      <alignment horizontal="center" vertical="center"/>
    </xf>
    <xf numFmtId="0" fontId="24" fillId="25" borderId="10" xfId="0" applyFont="1" applyFill="1" applyBorder="1" applyAlignment="1">
      <alignment horizontal="center" vertical="center" wrapText="1"/>
    </xf>
    <xf numFmtId="0" fontId="24" fillId="0" borderId="0" xfId="0" applyFont="1" applyFill="1" applyBorder="1" applyAlignment="1">
      <alignment horizontal="center"/>
    </xf>
    <xf numFmtId="0" fontId="24" fillId="0" borderId="10" xfId="0" applyFont="1" applyBorder="1" applyAlignment="1">
      <alignment/>
    </xf>
    <xf numFmtId="0" fontId="24" fillId="0" borderId="10" xfId="0" applyFont="1" applyBorder="1" applyAlignment="1">
      <alignment horizontal="center"/>
    </xf>
    <xf numFmtId="0" fontId="23" fillId="0" borderId="0" xfId="0" applyFont="1" applyAlignment="1">
      <alignment/>
    </xf>
    <xf numFmtId="1" fontId="22" fillId="0" borderId="10" xfId="0" applyNumberFormat="1" applyFont="1" applyBorder="1" applyAlignment="1">
      <alignment horizontal="center"/>
    </xf>
    <xf numFmtId="1" fontId="22" fillId="0" borderId="10" xfId="0" applyNumberFormat="1" applyFont="1" applyBorder="1" applyAlignment="1">
      <alignment horizontal="left"/>
    </xf>
    <xf numFmtId="0" fontId="22" fillId="0" borderId="0" xfId="0" applyFont="1" applyAlignment="1">
      <alignment vertical="center"/>
    </xf>
    <xf numFmtId="0" fontId="22" fillId="0" borderId="10" xfId="0" applyFont="1" applyBorder="1" applyAlignment="1">
      <alignment horizontal="center" vertical="center" wrapText="1"/>
    </xf>
    <xf numFmtId="0" fontId="27" fillId="0" borderId="0" xfId="0" applyFont="1" applyAlignment="1">
      <alignment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6" fillId="26" borderId="10" xfId="0" applyFont="1" applyFill="1" applyBorder="1" applyAlignment="1">
      <alignment horizontal="center"/>
    </xf>
    <xf numFmtId="0" fontId="24" fillId="26" borderId="10" xfId="0" applyFont="1" applyFill="1" applyBorder="1" applyAlignment="1">
      <alignment horizontal="center"/>
    </xf>
    <xf numFmtId="0" fontId="24" fillId="26" borderId="10" xfId="0" applyFont="1" applyFill="1" applyBorder="1" applyAlignment="1">
      <alignment/>
    </xf>
    <xf numFmtId="8" fontId="26" fillId="26" borderId="10" xfId="0" applyNumberFormat="1" applyFont="1" applyFill="1" applyBorder="1" applyAlignment="1">
      <alignment horizontal="center"/>
    </xf>
    <xf numFmtId="0" fontId="26" fillId="26" borderId="10" xfId="0" applyFont="1" applyFill="1" applyBorder="1" applyAlignment="1">
      <alignment horizontal="center" vertical="center"/>
    </xf>
    <xf numFmtId="0" fontId="26" fillId="25" borderId="10" xfId="0" applyFont="1" applyFill="1" applyBorder="1" applyAlignment="1">
      <alignment horizontal="center" wrapText="1"/>
    </xf>
    <xf numFmtId="0" fontId="26" fillId="25" borderId="10" xfId="0" applyFont="1" applyFill="1" applyBorder="1" applyAlignment="1">
      <alignment horizontal="center"/>
    </xf>
    <xf numFmtId="0" fontId="26" fillId="26" borderId="10" xfId="0" applyFont="1" applyFill="1" applyBorder="1" applyAlignment="1">
      <alignment horizontal="left" vertical="center"/>
    </xf>
    <xf numFmtId="0" fontId="24" fillId="24" borderId="10" xfId="0" applyFont="1" applyFill="1" applyBorder="1" applyAlignment="1">
      <alignment horizontal="left" vertical="center"/>
    </xf>
    <xf numFmtId="0" fontId="24" fillId="26" borderId="10" xfId="0" applyFont="1" applyFill="1" applyBorder="1" applyAlignment="1">
      <alignment horizontal="center" vertical="center" wrapText="1"/>
    </xf>
    <xf numFmtId="1" fontId="24" fillId="0" borderId="10" xfId="0" applyNumberFormat="1" applyFont="1" applyFill="1" applyBorder="1" applyAlignment="1">
      <alignment horizontal="center"/>
    </xf>
    <xf numFmtId="0" fontId="27" fillId="0" borderId="10" xfId="0" applyFont="1" applyBorder="1" applyAlignment="1">
      <alignment vertical="center"/>
    </xf>
    <xf numFmtId="164" fontId="24" fillId="25" borderId="10" xfId="0" applyNumberFormat="1" applyFont="1" applyFill="1" applyBorder="1" applyAlignment="1">
      <alignment horizontal="center" vertical="center" wrapText="1"/>
    </xf>
    <xf numFmtId="164" fontId="24" fillId="0" borderId="10" xfId="0" applyNumberFormat="1" applyFont="1" applyFill="1" applyBorder="1" applyAlignment="1">
      <alignment horizontal="right"/>
    </xf>
    <xf numFmtId="164" fontId="24" fillId="0" borderId="0" xfId="0" applyNumberFormat="1" applyFont="1" applyFill="1" applyBorder="1" applyAlignment="1">
      <alignment horizontal="center"/>
    </xf>
    <xf numFmtId="0" fontId="24" fillId="26" borderId="10" xfId="0" applyFont="1" applyFill="1" applyBorder="1" applyAlignment="1">
      <alignment horizontal="right" wrapText="1"/>
    </xf>
    <xf numFmtId="0" fontId="24" fillId="0" borderId="10" xfId="0" applyFont="1" applyFill="1" applyBorder="1" applyAlignment="1">
      <alignment horizontal="center" vertical="center" wrapText="1"/>
    </xf>
    <xf numFmtId="0" fontId="21" fillId="0" borderId="0" xfId="0" applyFont="1" applyFill="1" applyBorder="1" applyAlignment="1">
      <alignment vertical="center"/>
    </xf>
    <xf numFmtId="1" fontId="24" fillId="26" borderId="10" xfId="0" applyNumberFormat="1" applyFont="1" applyFill="1" applyBorder="1" applyAlignment="1">
      <alignment horizontal="center" vertical="center" wrapText="1"/>
    </xf>
    <xf numFmtId="0" fontId="24" fillId="0" borderId="0" xfId="0" applyFont="1" applyAlignment="1">
      <alignment horizontal="center" vertical="center"/>
    </xf>
    <xf numFmtId="0" fontId="26" fillId="25" borderId="10" xfId="0" applyFont="1" applyFill="1" applyBorder="1" applyAlignment="1">
      <alignment horizontal="center" vertical="center"/>
    </xf>
    <xf numFmtId="0" fontId="26" fillId="25" borderId="10" xfId="0" applyFont="1" applyFill="1" applyBorder="1" applyAlignment="1">
      <alignment/>
    </xf>
    <xf numFmtId="0" fontId="22" fillId="0" borderId="10" xfId="0" applyFont="1" applyFill="1" applyBorder="1" applyAlignment="1">
      <alignment horizontal="center" vertical="center" wrapText="1"/>
    </xf>
    <xf numFmtId="0" fontId="22" fillId="0" borderId="0" xfId="0" applyFont="1" applyAlignment="1">
      <alignment/>
    </xf>
    <xf numFmtId="0" fontId="24" fillId="26"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6" fillId="25" borderId="10" xfId="0" applyFont="1" applyFill="1" applyBorder="1" applyAlignment="1">
      <alignment horizontal="center" vertical="center"/>
    </xf>
    <xf numFmtId="0" fontId="26" fillId="25" borderId="10" xfId="0" applyFont="1" applyFill="1" applyBorder="1" applyAlignment="1">
      <alignment/>
    </xf>
    <xf numFmtId="0" fontId="26" fillId="25" borderId="10" xfId="0" applyFont="1" applyFill="1" applyBorder="1" applyAlignment="1">
      <alignment horizontal="center" wrapText="1"/>
    </xf>
    <xf numFmtId="0" fontId="24" fillId="25" borderId="10" xfId="0" applyFont="1" applyFill="1" applyBorder="1" applyAlignment="1">
      <alignment horizontal="center" vertical="center"/>
    </xf>
    <xf numFmtId="0" fontId="24" fillId="25" borderId="10" xfId="0" applyFont="1" applyFill="1" applyBorder="1" applyAlignment="1">
      <alignment horizontal="center" vertical="center" wrapText="1"/>
    </xf>
    <xf numFmtId="164" fontId="24" fillId="0" borderId="10" xfId="0" applyNumberFormat="1" applyFont="1" applyFill="1" applyBorder="1" applyAlignment="1">
      <alignment horizontal="center"/>
    </xf>
    <xf numFmtId="0" fontId="26" fillId="0" borderId="10" xfId="0" applyFont="1" applyFill="1" applyBorder="1" applyAlignment="1">
      <alignment horizontal="left" vertical="center" wrapText="1"/>
    </xf>
    <xf numFmtId="0" fontId="22" fillId="0" borderId="10" xfId="0" applyFont="1" applyBorder="1" applyAlignment="1">
      <alignment/>
    </xf>
    <xf numFmtId="0" fontId="22" fillId="0" borderId="0" xfId="0" applyFont="1" applyFill="1" applyAlignment="1">
      <alignment/>
    </xf>
    <xf numFmtId="0" fontId="22" fillId="0" borderId="0" xfId="0" applyFont="1" applyBorder="1" applyAlignment="1">
      <alignment/>
    </xf>
    <xf numFmtId="0" fontId="33"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3" fillId="26" borderId="10" xfId="0" applyFont="1" applyFill="1" applyBorder="1" applyAlignment="1">
      <alignment horizontal="center" vertical="center" wrapText="1"/>
    </xf>
    <xf numFmtId="0" fontId="26" fillId="25" borderId="10" xfId="0" applyFont="1" applyFill="1" applyBorder="1" applyAlignment="1">
      <alignment horizontal="center"/>
    </xf>
    <xf numFmtId="0" fontId="22" fillId="0" borderId="0" xfId="0" applyFont="1" applyFill="1" applyBorder="1" applyAlignment="1">
      <alignment/>
    </xf>
    <xf numFmtId="0" fontId="24" fillId="0" borderId="10" xfId="0" applyFont="1" applyBorder="1" applyAlignment="1">
      <alignment horizontal="center"/>
    </xf>
    <xf numFmtId="0" fontId="24" fillId="0" borderId="10" xfId="0" applyFont="1" applyFill="1" applyBorder="1" applyAlignment="1">
      <alignment horizontal="center"/>
    </xf>
    <xf numFmtId="0" fontId="29" fillId="0" borderId="10" xfId="0" applyFont="1" applyBorder="1" applyAlignment="1">
      <alignment horizontal="center"/>
    </xf>
    <xf numFmtId="0" fontId="33" fillId="0" borderId="10" xfId="0" applyFont="1" applyBorder="1" applyAlignment="1">
      <alignment horizontal="center"/>
    </xf>
    <xf numFmtId="0" fontId="24" fillId="0" borderId="10" xfId="0" applyFont="1" applyFill="1" applyBorder="1" applyAlignment="1">
      <alignment/>
    </xf>
    <xf numFmtId="0" fontId="24" fillId="26" borderId="10" xfId="0" applyFont="1" applyFill="1" applyBorder="1" applyAlignment="1">
      <alignment horizontal="center" vertical="center"/>
    </xf>
    <xf numFmtId="0" fontId="24" fillId="0" borderId="0" xfId="0" applyFont="1" applyAlignment="1">
      <alignment horizontal="center"/>
    </xf>
    <xf numFmtId="0" fontId="24" fillId="0" borderId="0" xfId="0" applyFont="1" applyBorder="1" applyAlignment="1">
      <alignment horizontal="center"/>
    </xf>
    <xf numFmtId="0" fontId="26" fillId="26" borderId="10" xfId="0" applyFont="1" applyFill="1" applyBorder="1" applyAlignment="1">
      <alignment horizontal="center" vertical="center"/>
    </xf>
    <xf numFmtId="0" fontId="26" fillId="26" borderId="10" xfId="0" applyFont="1" applyFill="1" applyBorder="1" applyAlignment="1">
      <alignment horizontal="center"/>
    </xf>
    <xf numFmtId="44" fontId="26" fillId="26" borderId="10" xfId="44" applyFont="1" applyFill="1" applyBorder="1" applyAlignment="1">
      <alignment/>
    </xf>
    <xf numFmtId="0" fontId="24" fillId="26" borderId="10" xfId="0" applyFont="1" applyFill="1" applyBorder="1" applyAlignment="1">
      <alignment horizontal="center" wrapText="1"/>
    </xf>
    <xf numFmtId="0" fontId="24" fillId="0" borderId="10" xfId="0" applyFont="1" applyBorder="1" applyAlignment="1">
      <alignment horizontal="center" wrapText="1"/>
    </xf>
    <xf numFmtId="0" fontId="26" fillId="0" borderId="0" xfId="0" applyFont="1" applyFill="1" applyBorder="1" applyAlignment="1">
      <alignment vertical="center" wrapText="1"/>
    </xf>
    <xf numFmtId="0" fontId="26" fillId="26" borderId="10" xfId="0" applyFont="1" applyFill="1" applyBorder="1" applyAlignment="1">
      <alignment horizontal="center" wrapText="1"/>
    </xf>
    <xf numFmtId="164" fontId="26" fillId="26" borderId="10" xfId="0" applyNumberFormat="1" applyFont="1" applyFill="1" applyBorder="1" applyAlignment="1">
      <alignment horizontal="center"/>
    </xf>
    <xf numFmtId="0" fontId="26" fillId="0" borderId="0" xfId="0" applyFont="1" applyFill="1" applyBorder="1" applyAlignment="1">
      <alignment horizontal="center"/>
    </xf>
    <xf numFmtId="0" fontId="22" fillId="0" borderId="0" xfId="0" applyFont="1" applyAlignment="1">
      <alignment horizontal="center"/>
    </xf>
    <xf numFmtId="0" fontId="24" fillId="0" borderId="10" xfId="0" applyFont="1" applyBorder="1" applyAlignment="1">
      <alignment wrapText="1"/>
    </xf>
    <xf numFmtId="0" fontId="23" fillId="0" borderId="11" xfId="0" applyFont="1" applyFill="1" applyBorder="1" applyAlignment="1">
      <alignment horizontal="left" vertical="center" wrapText="1"/>
    </xf>
    <xf numFmtId="0" fontId="33" fillId="26" borderId="10" xfId="0" applyFont="1" applyFill="1" applyBorder="1" applyAlignment="1">
      <alignment horizontal="center"/>
    </xf>
    <xf numFmtId="0" fontId="24" fillId="26" borderId="10" xfId="0" applyFont="1" applyFill="1" applyBorder="1" applyAlignment="1">
      <alignment horizontal="center"/>
    </xf>
    <xf numFmtId="0" fontId="26" fillId="0" borderId="0" xfId="0" applyFont="1" applyAlignment="1">
      <alignment horizontal="right"/>
    </xf>
    <xf numFmtId="0" fontId="26" fillId="0" borderId="0" xfId="0" applyFont="1" applyAlignment="1">
      <alignment/>
    </xf>
    <xf numFmtId="0" fontId="24" fillId="0" borderId="0" xfId="0" applyFont="1" applyAlignment="1">
      <alignment/>
    </xf>
    <xf numFmtId="0" fontId="24" fillId="0" borderId="0" xfId="0" applyFont="1" applyAlignment="1">
      <alignment horizontal="right"/>
    </xf>
    <xf numFmtId="0" fontId="24" fillId="0" borderId="0" xfId="0" applyFont="1" applyAlignment="1">
      <alignment wrapText="1"/>
    </xf>
    <xf numFmtId="0" fontId="23" fillId="0" borderId="0" xfId="0" applyFont="1" applyAlignment="1">
      <alignment/>
    </xf>
    <xf numFmtId="0" fontId="22" fillId="0" borderId="10" xfId="0" applyFont="1" applyBorder="1" applyAlignment="1">
      <alignment horizontal="center" wrapText="1"/>
    </xf>
    <xf numFmtId="0" fontId="23" fillId="0" borderId="12" xfId="0" applyFont="1" applyBorder="1" applyAlignment="1">
      <alignment horizontal="right"/>
    </xf>
    <xf numFmtId="164" fontId="26" fillId="25" borderId="10" xfId="44" applyNumberFormat="1" applyFont="1" applyFill="1" applyBorder="1" applyAlignment="1">
      <alignment horizontal="right" wrapText="1"/>
    </xf>
    <xf numFmtId="0" fontId="24" fillId="25" borderId="13"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0" xfId="0" applyFont="1" applyFill="1" applyBorder="1" applyAlignment="1">
      <alignment horizontal="center"/>
    </xf>
    <xf numFmtId="1" fontId="22" fillId="0" borderId="10" xfId="0" applyNumberFormat="1" applyFont="1" applyFill="1" applyBorder="1" applyAlignment="1">
      <alignment horizontal="center" vertical="center"/>
    </xf>
    <xf numFmtId="14"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2" fontId="22" fillId="0" borderId="10" xfId="0" applyNumberFormat="1" applyFont="1" applyFill="1" applyBorder="1" applyAlignment="1">
      <alignment horizontal="center" vertical="center"/>
    </xf>
    <xf numFmtId="8" fontId="22" fillId="0" borderId="10" xfId="0" applyNumberFormat="1" applyFont="1" applyFill="1" applyBorder="1" applyAlignment="1">
      <alignment horizontal="right"/>
    </xf>
    <xf numFmtId="8" fontId="22" fillId="0" borderId="0" xfId="0" applyNumberFormat="1" applyFont="1" applyFill="1" applyAlignment="1">
      <alignment/>
    </xf>
    <xf numFmtId="1" fontId="24" fillId="26" borderId="10" xfId="0" applyNumberFormat="1" applyFont="1" applyFill="1" applyBorder="1" applyAlignment="1">
      <alignment horizontal="center" vertical="center"/>
    </xf>
    <xf numFmtId="1" fontId="24" fillId="27" borderId="10" xfId="0" applyNumberFormat="1" applyFont="1" applyFill="1" applyBorder="1" applyAlignment="1">
      <alignment horizontal="center" vertical="center"/>
    </xf>
    <xf numFmtId="164" fontId="24" fillId="26" borderId="14" xfId="44" applyNumberFormat="1" applyFont="1" applyFill="1" applyBorder="1" applyAlignment="1">
      <alignment horizontal="right" vertical="center"/>
    </xf>
    <xf numFmtId="1" fontId="24" fillId="25" borderId="10" xfId="0" applyNumberFormat="1" applyFont="1" applyFill="1" applyBorder="1" applyAlignment="1">
      <alignment horizontal="center" vertical="center"/>
    </xf>
    <xf numFmtId="1" fontId="24" fillId="28" borderId="10" xfId="0" applyNumberFormat="1" applyFont="1" applyFill="1" applyBorder="1" applyAlignment="1">
      <alignment horizontal="center" vertical="center"/>
    </xf>
    <xf numFmtId="164" fontId="24" fillId="25" borderId="10" xfId="44" applyNumberFormat="1" applyFont="1" applyFill="1" applyBorder="1" applyAlignment="1">
      <alignment horizontal="right" vertical="center"/>
    </xf>
    <xf numFmtId="0" fontId="22" fillId="0" borderId="15" xfId="0" applyFont="1" applyBorder="1" applyAlignment="1">
      <alignment horizontal="center"/>
    </xf>
    <xf numFmtId="0" fontId="22" fillId="0" borderId="10" xfId="0" applyFont="1" applyBorder="1" applyAlignment="1">
      <alignment horizontal="center" vertical="center"/>
    </xf>
    <xf numFmtId="1" fontId="22" fillId="0" borderId="10" xfId="0" applyNumberFormat="1" applyFont="1" applyBorder="1" applyAlignment="1">
      <alignment horizontal="center" vertical="center"/>
    </xf>
    <xf numFmtId="0" fontId="22" fillId="24" borderId="10" xfId="0" applyFont="1" applyFill="1" applyBorder="1" applyAlignment="1">
      <alignment horizontal="center" vertical="center"/>
    </xf>
    <xf numFmtId="2" fontId="22" fillId="0" borderId="10" xfId="0" applyNumberFormat="1" applyFont="1" applyBorder="1" applyAlignment="1">
      <alignment horizontal="center" vertical="center"/>
    </xf>
    <xf numFmtId="0" fontId="24" fillId="28" borderId="10" xfId="0" applyFont="1" applyFill="1" applyBorder="1" applyAlignment="1">
      <alignment horizontal="center" vertical="center"/>
    </xf>
    <xf numFmtId="2" fontId="24" fillId="27" borderId="10" xfId="0" applyNumberFormat="1" applyFont="1" applyFill="1" applyBorder="1" applyAlignment="1">
      <alignment horizontal="center" vertical="center"/>
    </xf>
    <xf numFmtId="0" fontId="24" fillId="25" borderId="10" xfId="0" applyFont="1" applyFill="1" applyBorder="1" applyAlignment="1">
      <alignment horizontal="center"/>
    </xf>
    <xf numFmtId="0" fontId="24" fillId="6" borderId="10" xfId="0" applyFont="1" applyFill="1" applyBorder="1" applyAlignment="1">
      <alignment horizontal="center" vertical="center"/>
    </xf>
    <xf numFmtId="0" fontId="22" fillId="0" borderId="12" xfId="0" applyFont="1" applyBorder="1" applyAlignment="1">
      <alignment horizontal="center"/>
    </xf>
    <xf numFmtId="186" fontId="37" fillId="0" borderId="10" xfId="0" applyNumberFormat="1" applyFont="1" applyFill="1" applyBorder="1" applyAlignment="1">
      <alignment horizontal="center" vertical="center" wrapText="1"/>
    </xf>
    <xf numFmtId="1" fontId="22" fillId="0" borderId="10" xfId="0" applyNumberFormat="1" applyFont="1" applyFill="1" applyBorder="1" applyAlignment="1">
      <alignment horizontal="center" vertical="center"/>
    </xf>
    <xf numFmtId="0" fontId="22" fillId="25" borderId="0" xfId="0" applyFont="1" applyFill="1" applyAlignment="1">
      <alignment/>
    </xf>
    <xf numFmtId="0" fontId="24" fillId="25" borderId="10" xfId="0" applyFont="1" applyFill="1" applyBorder="1" applyAlignment="1">
      <alignment horizontal="left" vertical="center"/>
    </xf>
    <xf numFmtId="1" fontId="26" fillId="26" borderId="10" xfId="0" applyNumberFormat="1" applyFont="1" applyFill="1" applyBorder="1" applyAlignment="1">
      <alignment horizontal="center" vertical="center"/>
    </xf>
    <xf numFmtId="2" fontId="26" fillId="27" borderId="10" xfId="0" applyNumberFormat="1" applyFont="1" applyFill="1" applyBorder="1" applyAlignment="1">
      <alignment horizontal="center" vertical="center"/>
    </xf>
    <xf numFmtId="164" fontId="26" fillId="26" borderId="10" xfId="44" applyNumberFormat="1" applyFont="1" applyFill="1" applyBorder="1" applyAlignment="1">
      <alignment horizontal="right" vertical="center"/>
    </xf>
    <xf numFmtId="164" fontId="22" fillId="0" borderId="0" xfId="0" applyNumberFormat="1" applyFont="1" applyAlignment="1">
      <alignment/>
    </xf>
    <xf numFmtId="0" fontId="22" fillId="0" borderId="0" xfId="0" applyFont="1" applyBorder="1" applyAlignment="1">
      <alignment horizontal="center"/>
    </xf>
    <xf numFmtId="1" fontId="22" fillId="0" borderId="0" xfId="0" applyNumberFormat="1" applyFont="1" applyAlignment="1">
      <alignment/>
    </xf>
    <xf numFmtId="164" fontId="22" fillId="0" borderId="0" xfId="44" applyNumberFormat="1" applyFont="1" applyAlignment="1">
      <alignment horizontal="right"/>
    </xf>
    <xf numFmtId="0" fontId="22" fillId="0" borderId="0" xfId="0" applyFont="1" applyBorder="1" applyAlignment="1">
      <alignment/>
    </xf>
    <xf numFmtId="0" fontId="26" fillId="0" borderId="0" xfId="0" applyFont="1" applyFill="1" applyBorder="1" applyAlignment="1">
      <alignment horizontal="center" wrapText="1"/>
    </xf>
    <xf numFmtId="164" fontId="26" fillId="0" borderId="0" xfId="0" applyNumberFormat="1" applyFont="1" applyFill="1" applyBorder="1" applyAlignment="1">
      <alignment horizontal="right" wrapText="1"/>
    </xf>
    <xf numFmtId="0" fontId="24" fillId="0" borderId="0" xfId="0" applyFont="1" applyFill="1" applyAlignment="1">
      <alignment/>
    </xf>
    <xf numFmtId="0" fontId="38" fillId="0" borderId="0" xfId="0" applyFont="1" applyFill="1" applyBorder="1" applyAlignment="1">
      <alignment vertical="center" wrapText="1"/>
    </xf>
    <xf numFmtId="0" fontId="22" fillId="0" borderId="0" xfId="0" applyFont="1" applyBorder="1" applyAlignment="1">
      <alignment vertical="center"/>
    </xf>
    <xf numFmtId="0" fontId="22" fillId="0" borderId="0" xfId="0" applyFont="1" applyAlignment="1">
      <alignment vertical="center"/>
    </xf>
    <xf numFmtId="1" fontId="22" fillId="0" borderId="10" xfId="0" applyNumberFormat="1" applyFont="1" applyBorder="1" applyAlignment="1">
      <alignment horizontal="center"/>
    </xf>
    <xf numFmtId="1" fontId="22" fillId="24" borderId="10" xfId="0" applyNumberFormat="1" applyFont="1" applyFill="1" applyBorder="1" applyAlignment="1">
      <alignment horizontal="center" vertical="center"/>
    </xf>
    <xf numFmtId="1" fontId="22" fillId="0" borderId="10" xfId="0" applyNumberFormat="1" applyFont="1" applyBorder="1" applyAlignment="1">
      <alignment horizontal="center" vertical="center"/>
    </xf>
    <xf numFmtId="164" fontId="22" fillId="0" borderId="10" xfId="0" applyNumberFormat="1" applyFont="1" applyBorder="1" applyAlignment="1">
      <alignment horizontal="right"/>
    </xf>
    <xf numFmtId="0" fontId="22" fillId="0" borderId="10" xfId="0" applyFont="1" applyFill="1" applyBorder="1" applyAlignment="1">
      <alignment/>
    </xf>
    <xf numFmtId="164" fontId="22" fillId="0" borderId="0" xfId="0" applyNumberFormat="1" applyFont="1" applyBorder="1" applyAlignment="1">
      <alignment horizontal="center"/>
    </xf>
    <xf numFmtId="1" fontId="24" fillId="26" borderId="10" xfId="0" applyNumberFormat="1" applyFont="1" applyFill="1" applyBorder="1" applyAlignment="1">
      <alignment horizontal="center"/>
    </xf>
    <xf numFmtId="164" fontId="24" fillId="26" borderId="10" xfId="44" applyNumberFormat="1" applyFont="1" applyFill="1" applyBorder="1" applyAlignment="1">
      <alignment horizontal="right"/>
    </xf>
    <xf numFmtId="164" fontId="36" fillId="0" borderId="0" xfId="44" applyNumberFormat="1" applyFont="1" applyFill="1" applyBorder="1" applyAlignment="1">
      <alignment horizontal="left"/>
    </xf>
    <xf numFmtId="0" fontId="22" fillId="0" borderId="10" xfId="0" applyFont="1" applyBorder="1" applyAlignment="1">
      <alignment horizontal="center" vertical="center"/>
    </xf>
    <xf numFmtId="0" fontId="22" fillId="0" borderId="10" xfId="0" applyFont="1" applyBorder="1" applyAlignment="1">
      <alignment horizontal="center"/>
    </xf>
    <xf numFmtId="1" fontId="22" fillId="0" borderId="10" xfId="0" applyNumberFormat="1" applyFont="1" applyFill="1" applyBorder="1" applyAlignment="1">
      <alignment horizontal="center"/>
    </xf>
    <xf numFmtId="164" fontId="24" fillId="0" borderId="0" xfId="0" applyNumberFormat="1" applyFont="1" applyAlignment="1">
      <alignment/>
    </xf>
    <xf numFmtId="0" fontId="22" fillId="0" borderId="10" xfId="0" applyFont="1" applyBorder="1" applyAlignment="1">
      <alignment horizontal="right"/>
    </xf>
    <xf numFmtId="7" fontId="22" fillId="0" borderId="10" xfId="44" applyNumberFormat="1" applyFont="1" applyBorder="1" applyAlignment="1">
      <alignment/>
    </xf>
    <xf numFmtId="0" fontId="39" fillId="0" borderId="10" xfId="0" applyFont="1" applyBorder="1" applyAlignment="1">
      <alignment vertical="center"/>
    </xf>
    <xf numFmtId="0" fontId="22" fillId="0" borderId="10" xfId="0" applyFont="1" applyFill="1" applyBorder="1" applyAlignment="1">
      <alignment horizontal="right"/>
    </xf>
    <xf numFmtId="0" fontId="22" fillId="0" borderId="0" xfId="0" applyFont="1" applyBorder="1" applyAlignment="1">
      <alignment horizontal="right"/>
    </xf>
    <xf numFmtId="0" fontId="22" fillId="0" borderId="0" xfId="0" applyFont="1" applyFill="1" applyBorder="1" applyAlignment="1">
      <alignment horizontal="right"/>
    </xf>
    <xf numFmtId="164" fontId="22" fillId="0" borderId="0" xfId="0" applyNumberFormat="1" applyFont="1" applyBorder="1" applyAlignment="1">
      <alignment/>
    </xf>
    <xf numFmtId="164" fontId="22" fillId="0" borderId="0" xfId="0" applyNumberFormat="1" applyFont="1" applyFill="1" applyBorder="1" applyAlignment="1">
      <alignment horizontal="right"/>
    </xf>
    <xf numFmtId="0" fontId="22" fillId="0" borderId="10" xfId="0" applyFont="1" applyBorder="1" applyAlignment="1">
      <alignment horizontal="right" wrapText="1"/>
    </xf>
    <xf numFmtId="0" fontId="26" fillId="0" borderId="0" xfId="0" applyFont="1" applyBorder="1" applyAlignment="1">
      <alignment/>
    </xf>
    <xf numFmtId="0" fontId="23" fillId="0" borderId="12" xfId="0" applyFont="1" applyBorder="1" applyAlignment="1">
      <alignment/>
    </xf>
    <xf numFmtId="0" fontId="24" fillId="0" borderId="0" xfId="0" applyFont="1" applyFill="1" applyBorder="1" applyAlignment="1">
      <alignment/>
    </xf>
    <xf numFmtId="164" fontId="24" fillId="26" borderId="10" xfId="0" applyNumberFormat="1" applyFont="1" applyFill="1" applyBorder="1" applyAlignment="1">
      <alignment horizontal="right" vertical="center"/>
    </xf>
    <xf numFmtId="164" fontId="22" fillId="0" borderId="10" xfId="0" applyNumberFormat="1" applyFont="1" applyBorder="1" applyAlignment="1">
      <alignment horizontal="center"/>
    </xf>
    <xf numFmtId="0" fontId="29" fillId="0" borderId="10" xfId="0" applyNumberFormat="1" applyFont="1" applyFill="1" applyBorder="1" applyAlignment="1" applyProtection="1">
      <alignment horizontal="center"/>
      <protection/>
    </xf>
    <xf numFmtId="164" fontId="22" fillId="0" borderId="0" xfId="0" applyNumberFormat="1" applyFont="1" applyAlignment="1">
      <alignment horizontal="right"/>
    </xf>
    <xf numFmtId="164" fontId="22" fillId="0" borderId="0" xfId="0" applyNumberFormat="1" applyFont="1" applyBorder="1" applyAlignment="1">
      <alignment horizontal="right"/>
    </xf>
    <xf numFmtId="0" fontId="24" fillId="26" borderId="10" xfId="0" applyFont="1" applyFill="1" applyBorder="1" applyAlignment="1">
      <alignment/>
    </xf>
    <xf numFmtId="0" fontId="39" fillId="0" borderId="10" xfId="50" applyFont="1" applyBorder="1">
      <alignment vertical="center"/>
      <protection/>
    </xf>
    <xf numFmtId="0" fontId="22"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25" borderId="10" xfId="0" applyFont="1" applyFill="1" applyBorder="1" applyAlignment="1">
      <alignment/>
    </xf>
    <xf numFmtId="0" fontId="21" fillId="0" borderId="0" xfId="0" applyFont="1" applyFill="1" applyAlignment="1">
      <alignment/>
    </xf>
    <xf numFmtId="0" fontId="21" fillId="0" borderId="0" xfId="0" applyFont="1" applyAlignment="1">
      <alignment/>
    </xf>
    <xf numFmtId="164" fontId="22" fillId="0" borderId="10" xfId="44" applyNumberFormat="1" applyFont="1" applyBorder="1" applyAlignment="1">
      <alignment/>
    </xf>
    <xf numFmtId="0" fontId="29" fillId="0" borderId="10" xfId="0" applyFont="1" applyFill="1" applyBorder="1" applyAlignment="1">
      <alignment horizontal="center"/>
    </xf>
    <xf numFmtId="8" fontId="24" fillId="26" borderId="10" xfId="0" applyNumberFormat="1" applyFont="1" applyFill="1" applyBorder="1" applyAlignment="1">
      <alignment/>
    </xf>
    <xf numFmtId="1" fontId="24" fillId="0" borderId="10" xfId="0" applyNumberFormat="1" applyFont="1" applyBorder="1" applyAlignment="1">
      <alignment horizontal="center"/>
    </xf>
    <xf numFmtId="164" fontId="22" fillId="0" borderId="10" xfId="0" applyNumberFormat="1" applyFont="1" applyBorder="1" applyAlignment="1">
      <alignment/>
    </xf>
    <xf numFmtId="0" fontId="22" fillId="0" borderId="0" xfId="0" applyNumberFormat="1" applyFont="1" applyAlignment="1">
      <alignment/>
    </xf>
    <xf numFmtId="0" fontId="26" fillId="26" borderId="10" xfId="0" applyFont="1" applyFill="1" applyBorder="1" applyAlignment="1">
      <alignment horizontal="left"/>
    </xf>
    <xf numFmtId="1" fontId="26" fillId="26" borderId="10" xfId="0" applyNumberFormat="1" applyFont="1" applyFill="1" applyBorder="1" applyAlignment="1">
      <alignment horizontal="center"/>
    </xf>
    <xf numFmtId="3" fontId="26" fillId="26" borderId="10" xfId="0" applyNumberFormat="1" applyFont="1" applyFill="1" applyBorder="1" applyAlignment="1">
      <alignment horizontal="center"/>
    </xf>
    <xf numFmtId="164" fontId="26" fillId="26" borderId="10" xfId="44" applyNumberFormat="1" applyFont="1" applyFill="1" applyBorder="1" applyAlignment="1">
      <alignment/>
    </xf>
    <xf numFmtId="0" fontId="22" fillId="0" borderId="10" xfId="0" applyFont="1" applyFill="1" applyBorder="1" applyAlignment="1">
      <alignment horizontal="center" wrapText="1"/>
    </xf>
    <xf numFmtId="0" fontId="26" fillId="25" borderId="10" xfId="0" applyFont="1" applyFill="1" applyBorder="1" applyAlignment="1">
      <alignment wrapText="1"/>
    </xf>
    <xf numFmtId="164" fontId="24" fillId="25" borderId="10" xfId="0" applyNumberFormat="1" applyFont="1" applyFill="1" applyBorder="1" applyAlignment="1">
      <alignment horizontal="center" vertical="center" wrapText="1"/>
    </xf>
    <xf numFmtId="0" fontId="24" fillId="0" borderId="0" xfId="0" applyFont="1" applyAlignment="1">
      <alignment horizontal="center" vertical="center"/>
    </xf>
    <xf numFmtId="164" fontId="24" fillId="0" borderId="10" xfId="44" applyNumberFormat="1" applyFont="1" applyBorder="1" applyAlignment="1">
      <alignment horizontal="right"/>
    </xf>
    <xf numFmtId="1" fontId="24" fillId="25" borderId="10" xfId="0" applyNumberFormat="1" applyFont="1" applyFill="1" applyBorder="1" applyAlignment="1">
      <alignment horizontal="center"/>
    </xf>
    <xf numFmtId="0" fontId="26" fillId="25" borderId="10" xfId="0" applyFont="1" applyFill="1" applyBorder="1" applyAlignment="1">
      <alignment/>
    </xf>
    <xf numFmtId="1" fontId="26" fillId="25" borderId="10" xfId="0" applyNumberFormat="1" applyFont="1" applyFill="1" applyBorder="1" applyAlignment="1">
      <alignment horizontal="center"/>
    </xf>
    <xf numFmtId="0" fontId="24" fillId="0" borderId="0" xfId="0" applyFont="1" applyBorder="1" applyAlignment="1">
      <alignment/>
    </xf>
    <xf numFmtId="164" fontId="26" fillId="25" borderId="10" xfId="44" applyNumberFormat="1" applyFont="1" applyFill="1" applyBorder="1" applyAlignment="1">
      <alignment horizontal="right"/>
    </xf>
    <xf numFmtId="0" fontId="26" fillId="0" borderId="0" xfId="0" applyFont="1" applyBorder="1" applyAlignment="1">
      <alignment vertical="center"/>
    </xf>
    <xf numFmtId="164" fontId="22" fillId="0" borderId="10" xfId="44" applyNumberFormat="1" applyFont="1" applyFill="1" applyBorder="1" applyAlignment="1">
      <alignment horizontal="right"/>
    </xf>
    <xf numFmtId="0" fontId="21" fillId="0" borderId="0" xfId="0" applyFont="1" applyFill="1" applyBorder="1" applyAlignment="1">
      <alignment vertical="center"/>
    </xf>
    <xf numFmtId="164" fontId="24" fillId="25" borderId="10" xfId="0" applyNumberFormat="1" applyFont="1" applyFill="1" applyBorder="1" applyAlignment="1">
      <alignment horizontal="right" vertical="center" wrapText="1"/>
    </xf>
    <xf numFmtId="164" fontId="24" fillId="25" borderId="10" xfId="0" applyNumberFormat="1" applyFont="1" applyFill="1" applyBorder="1" applyAlignment="1">
      <alignment horizontal="right" vertical="center"/>
    </xf>
    <xf numFmtId="164" fontId="21" fillId="0" borderId="10" xfId="44" applyNumberFormat="1" applyFont="1" applyFill="1" applyBorder="1" applyAlignment="1">
      <alignment horizontal="right"/>
    </xf>
    <xf numFmtId="164" fontId="22" fillId="0" borderId="10" xfId="44" applyNumberFormat="1" applyFont="1" applyFill="1" applyBorder="1" applyAlignment="1">
      <alignment horizontal="center"/>
    </xf>
    <xf numFmtId="164" fontId="24" fillId="25" borderId="10" xfId="44" applyNumberFormat="1" applyFont="1" applyFill="1" applyBorder="1" applyAlignment="1">
      <alignment horizontal="right"/>
    </xf>
    <xf numFmtId="164" fontId="35" fillId="0" borderId="10" xfId="44" applyNumberFormat="1" applyFont="1" applyFill="1" applyBorder="1" applyAlignment="1">
      <alignment horizontal="right"/>
    </xf>
    <xf numFmtId="0" fontId="35" fillId="0" borderId="0" xfId="0" applyFont="1" applyFill="1" applyAlignment="1">
      <alignment/>
    </xf>
    <xf numFmtId="164" fontId="22" fillId="0" borderId="10" xfId="0" applyNumberFormat="1" applyFont="1" applyFill="1" applyBorder="1" applyAlignment="1">
      <alignment horizontal="center" vertical="center"/>
    </xf>
    <xf numFmtId="164" fontId="26" fillId="26" borderId="10" xfId="44" applyNumberFormat="1" applyFont="1" applyFill="1" applyBorder="1" applyAlignment="1">
      <alignment horizontal="right"/>
    </xf>
    <xf numFmtId="0" fontId="24" fillId="0" borderId="0" xfId="0" applyFont="1" applyAlignment="1">
      <alignment horizontal="left"/>
    </xf>
    <xf numFmtId="164" fontId="24" fillId="0" borderId="0" xfId="44" applyNumberFormat="1" applyFont="1" applyAlignment="1">
      <alignment horizontal="right"/>
    </xf>
    <xf numFmtId="164" fontId="24" fillId="0" borderId="0" xfId="0" applyNumberFormat="1" applyFont="1" applyAlignment="1">
      <alignment horizontal="right"/>
    </xf>
    <xf numFmtId="0" fontId="26" fillId="0" borderId="0" xfId="0" applyFont="1" applyBorder="1" applyAlignment="1" applyProtection="1">
      <alignment horizontal="left" wrapText="1"/>
      <protection/>
    </xf>
    <xf numFmtId="0" fontId="26" fillId="0" borderId="0" xfId="0" applyFont="1" applyBorder="1" applyAlignment="1" applyProtection="1">
      <alignment wrapText="1"/>
      <protection/>
    </xf>
    <xf numFmtId="0" fontId="26" fillId="0" borderId="0" xfId="0" applyFont="1" applyBorder="1" applyAlignment="1">
      <alignment wrapText="1"/>
    </xf>
    <xf numFmtId="0" fontId="24" fillId="0" borderId="0" xfId="0" applyFont="1" applyBorder="1" applyAlignment="1">
      <alignment horizontal="left"/>
    </xf>
    <xf numFmtId="0" fontId="22" fillId="25" borderId="10" xfId="0" applyFont="1" applyFill="1" applyBorder="1" applyAlignment="1">
      <alignment horizontal="center"/>
    </xf>
    <xf numFmtId="164" fontId="24" fillId="25" borderId="10" xfId="0" applyNumberFormat="1" applyFont="1" applyFill="1" applyBorder="1" applyAlignment="1">
      <alignment horizontal="right"/>
    </xf>
    <xf numFmtId="164" fontId="24" fillId="25" borderId="10" xfId="0" applyNumberFormat="1" applyFont="1" applyFill="1" applyBorder="1" applyAlignment="1">
      <alignment horizontal="center" vertical="center"/>
    </xf>
    <xf numFmtId="14" fontId="22" fillId="0" borderId="10" xfId="0" applyNumberFormat="1" applyFont="1" applyBorder="1" applyAlignment="1">
      <alignment horizontal="center"/>
    </xf>
    <xf numFmtId="164" fontId="22" fillId="0" borderId="10" xfId="44" applyNumberFormat="1" applyFont="1" applyBorder="1" applyAlignment="1">
      <alignment horizontal="right"/>
    </xf>
    <xf numFmtId="14" fontId="24" fillId="26" borderId="10" xfId="0" applyNumberFormat="1" applyFont="1" applyFill="1" applyBorder="1" applyAlignment="1">
      <alignment horizontal="center"/>
    </xf>
    <xf numFmtId="14" fontId="24" fillId="25" borderId="10" xfId="0" applyNumberFormat="1" applyFont="1" applyFill="1" applyBorder="1" applyAlignment="1">
      <alignment horizontal="center"/>
    </xf>
    <xf numFmtId="14" fontId="26" fillId="25" borderId="10" xfId="0" applyNumberFormat="1" applyFont="1" applyFill="1" applyBorder="1" applyAlignment="1">
      <alignment horizontal="center"/>
    </xf>
    <xf numFmtId="1" fontId="24" fillId="0" borderId="10" xfId="0" applyNumberFormat="1" applyFont="1" applyFill="1" applyBorder="1" applyAlignment="1">
      <alignment horizontal="center"/>
    </xf>
    <xf numFmtId="184" fontId="26" fillId="26" borderId="10" xfId="44" applyNumberFormat="1" applyFont="1" applyFill="1" applyBorder="1" applyAlignment="1">
      <alignment horizontal="center"/>
    </xf>
    <xf numFmtId="14" fontId="26" fillId="26" borderId="10" xfId="0" applyNumberFormat="1" applyFont="1" applyFill="1" applyBorder="1" applyAlignment="1">
      <alignment horizontal="center"/>
    </xf>
    <xf numFmtId="14" fontId="22" fillId="0" borderId="0" xfId="0" applyNumberFormat="1" applyFont="1" applyAlignment="1">
      <alignment/>
    </xf>
    <xf numFmtId="0" fontId="22" fillId="0" borderId="16" xfId="0" applyFont="1" applyBorder="1" applyAlignment="1">
      <alignment/>
    </xf>
    <xf numFmtId="0" fontId="42" fillId="25" borderId="10" xfId="0" applyFont="1" applyFill="1" applyBorder="1" applyAlignment="1">
      <alignment horizontal="center" vertical="center"/>
    </xf>
    <xf numFmtId="0" fontId="33" fillId="25" borderId="10" xfId="0" applyFont="1" applyFill="1" applyBorder="1" applyAlignment="1">
      <alignment horizontal="center" wrapText="1"/>
    </xf>
    <xf numFmtId="0" fontId="33" fillId="25"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43" fillId="26" borderId="10" xfId="0" applyFont="1" applyFill="1" applyBorder="1" applyAlignment="1">
      <alignment horizontal="center" vertical="center" wrapText="1"/>
    </xf>
    <xf numFmtId="0" fontId="34" fillId="26"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2" fillId="0" borderId="10" xfId="0" applyFont="1" applyFill="1" applyBorder="1" applyAlignment="1">
      <alignment horizontal="right" wrapText="1"/>
    </xf>
    <xf numFmtId="0" fontId="26" fillId="0" borderId="10" xfId="0" applyFont="1" applyFill="1" applyBorder="1" applyAlignment="1">
      <alignment horizontal="center" wrapText="1"/>
    </xf>
    <xf numFmtId="0" fontId="45" fillId="26" borderId="10" xfId="0" applyFont="1" applyFill="1" applyBorder="1" applyAlignment="1">
      <alignment horizontal="center"/>
    </xf>
    <xf numFmtId="0" fontId="29" fillId="26" borderId="10" xfId="0" applyFont="1" applyFill="1" applyBorder="1" applyAlignment="1">
      <alignment/>
    </xf>
    <xf numFmtId="0" fontId="29" fillId="26" borderId="10" xfId="0" applyFont="1" applyFill="1" applyBorder="1" applyAlignment="1">
      <alignment horizontal="right" wrapText="1"/>
    </xf>
    <xf numFmtId="0" fontId="33" fillId="26" borderId="10" xfId="0" applyFont="1" applyFill="1" applyBorder="1" applyAlignment="1">
      <alignment/>
    </xf>
    <xf numFmtId="44" fontId="36" fillId="0" borderId="0" xfId="44" applyFont="1" applyFill="1" applyAlignment="1">
      <alignment/>
    </xf>
    <xf numFmtId="44" fontId="36" fillId="0" borderId="0" xfId="0" applyNumberFormat="1" applyFont="1" applyFill="1" applyBorder="1" applyAlignment="1">
      <alignment horizontal="left" vertical="center" wrapText="1"/>
    </xf>
    <xf numFmtId="44" fontId="36" fillId="0" borderId="0" xfId="44" applyFont="1" applyFill="1" applyBorder="1" applyAlignment="1">
      <alignment/>
    </xf>
    <xf numFmtId="44" fontId="22" fillId="0" borderId="0" xfId="0" applyNumberFormat="1" applyFont="1" applyBorder="1" applyAlignment="1">
      <alignment/>
    </xf>
    <xf numFmtId="0" fontId="36" fillId="25" borderId="10" xfId="0" applyFont="1" applyFill="1" applyBorder="1" applyAlignment="1">
      <alignment horizontal="center" vertical="center" wrapText="1"/>
    </xf>
    <xf numFmtId="0" fontId="36" fillId="26" borderId="10" xfId="0" applyFont="1" applyFill="1" applyBorder="1" applyAlignment="1">
      <alignment horizontal="center"/>
    </xf>
    <xf numFmtId="0" fontId="22" fillId="26" borderId="10" xfId="0" applyFont="1" applyFill="1" applyBorder="1" applyAlignment="1">
      <alignment horizontal="right" wrapText="1"/>
    </xf>
    <xf numFmtId="0" fontId="24" fillId="26" borderId="10" xfId="0" applyFont="1" applyFill="1" applyBorder="1" applyAlignment="1">
      <alignment/>
    </xf>
    <xf numFmtId="0" fontId="36" fillId="0" borderId="0" xfId="0" applyFont="1" applyAlignment="1">
      <alignment horizontal="center"/>
    </xf>
    <xf numFmtId="0" fontId="22" fillId="0" borderId="0" xfId="0" applyFont="1" applyAlignment="1">
      <alignment horizontal="right" wrapText="1"/>
    </xf>
    <xf numFmtId="0" fontId="33" fillId="0" borderId="0" xfId="0" applyFont="1" applyAlignment="1">
      <alignment horizontal="center"/>
    </xf>
    <xf numFmtId="0" fontId="22" fillId="0" borderId="0" xfId="0" applyFont="1" applyAlignment="1">
      <alignment horizontal="left"/>
    </xf>
    <xf numFmtId="0" fontId="26" fillId="26" borderId="12" xfId="0" applyFont="1" applyFill="1" applyBorder="1" applyAlignment="1">
      <alignment vertical="center"/>
    </xf>
    <xf numFmtId="181" fontId="24" fillId="26" borderId="10" xfId="0" applyNumberFormat="1" applyFont="1" applyFill="1" applyBorder="1" applyAlignment="1">
      <alignment horizontal="right"/>
    </xf>
    <xf numFmtId="0" fontId="26" fillId="26" borderId="12" xfId="0" applyFont="1" applyFill="1" applyBorder="1" applyAlignment="1">
      <alignment/>
    </xf>
    <xf numFmtId="164" fontId="24" fillId="26" borderId="10" xfId="44" applyNumberFormat="1" applyFont="1" applyFill="1" applyBorder="1" applyAlignment="1">
      <alignment/>
    </xf>
    <xf numFmtId="0" fontId="22" fillId="0" borderId="10" xfId="0" applyFont="1" applyFill="1" applyBorder="1" applyAlignment="1">
      <alignment vertical="center" wrapText="1"/>
    </xf>
    <xf numFmtId="14" fontId="22" fillId="0" borderId="10" xfId="0" applyNumberFormat="1" applyFont="1" applyBorder="1" applyAlignment="1">
      <alignment/>
    </xf>
    <xf numFmtId="0" fontId="26" fillId="26" borderId="10" xfId="0" applyFont="1" applyFill="1" applyBorder="1" applyAlignment="1">
      <alignment horizontal="center" vertical="center" wrapText="1"/>
    </xf>
    <xf numFmtId="0" fontId="22" fillId="0" borderId="0" xfId="0" applyFont="1" applyBorder="1" applyAlignment="1">
      <alignment horizontal="left"/>
    </xf>
    <xf numFmtId="0" fontId="24" fillId="0" borderId="0" xfId="0" applyFont="1" applyFill="1" applyBorder="1" applyAlignment="1">
      <alignment vertical="center" wrapText="1"/>
    </xf>
    <xf numFmtId="0" fontId="24" fillId="25" borderId="10" xfId="0" applyFont="1" applyFill="1" applyBorder="1" applyAlignment="1">
      <alignment horizont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top" wrapText="1"/>
    </xf>
    <xf numFmtId="164" fontId="22" fillId="0" borderId="10" xfId="0" applyNumberFormat="1" applyFont="1" applyFill="1" applyBorder="1" applyAlignment="1">
      <alignment horizontal="center"/>
    </xf>
    <xf numFmtId="0" fontId="46" fillId="0" borderId="10" xfId="0" applyFont="1" applyFill="1" applyBorder="1" applyAlignment="1">
      <alignment horizontal="center" vertical="center" wrapText="1"/>
    </xf>
    <xf numFmtId="0" fontId="29" fillId="0" borderId="0" xfId="0" applyFont="1" applyFill="1" applyAlignment="1">
      <alignment horizontal="center" vertical="center" wrapText="1"/>
    </xf>
    <xf numFmtId="164" fontId="33" fillId="26" borderId="10" xfId="0" applyNumberFormat="1" applyFont="1" applyFill="1" applyBorder="1" applyAlignment="1">
      <alignment horizontal="right" vertical="center" wrapText="1"/>
    </xf>
    <xf numFmtId="8" fontId="33" fillId="26" borderId="10" xfId="0" applyNumberFormat="1" applyFont="1" applyFill="1" applyBorder="1" applyAlignment="1">
      <alignment horizontal="right" vertical="center" wrapText="1"/>
    </xf>
    <xf numFmtId="0" fontId="47" fillId="0" borderId="0" xfId="0" applyFont="1" applyAlignment="1">
      <alignment horizontal="center"/>
    </xf>
    <xf numFmtId="8" fontId="22" fillId="0" borderId="10" xfId="0" applyNumberFormat="1" applyFont="1" applyFill="1" applyBorder="1" applyAlignment="1">
      <alignment horizontal="right"/>
    </xf>
    <xf numFmtId="1" fontId="22" fillId="0" borderId="0" xfId="0" applyNumberFormat="1" applyFont="1" applyFill="1" applyBorder="1" applyAlignment="1">
      <alignment horizontal="left"/>
    </xf>
    <xf numFmtId="0" fontId="22" fillId="0" borderId="0" xfId="0" applyFont="1" applyFill="1" applyAlignment="1">
      <alignment horizontal="center"/>
    </xf>
    <xf numFmtId="7" fontId="22" fillId="0" borderId="10" xfId="44" applyNumberFormat="1" applyFont="1" applyFill="1" applyBorder="1" applyAlignment="1">
      <alignment horizontal="right" vertical="center" wrapText="1"/>
    </xf>
    <xf numFmtId="0" fontId="0" fillId="0" borderId="10" xfId="0" applyFont="1" applyFill="1" applyBorder="1" applyAlignment="1">
      <alignment horizontal="center" vertical="top" wrapText="1"/>
    </xf>
    <xf numFmtId="44" fontId="22" fillId="0" borderId="10" xfId="44" applyFont="1" applyFill="1" applyBorder="1" applyAlignment="1">
      <alignment horizontal="left" vertical="center" wrapText="1"/>
    </xf>
    <xf numFmtId="164" fontId="22" fillId="0" borderId="17" xfId="0" applyNumberFormat="1" applyFont="1" applyFill="1" applyBorder="1" applyAlignment="1">
      <alignment horizontal="center"/>
    </xf>
    <xf numFmtId="8" fontId="22" fillId="0" borderId="11" xfId="0" applyNumberFormat="1" applyFont="1" applyFill="1" applyBorder="1" applyAlignment="1">
      <alignment horizontal="right"/>
    </xf>
    <xf numFmtId="0" fontId="22" fillId="0" borderId="17" xfId="0" applyFont="1" applyBorder="1" applyAlignment="1">
      <alignment/>
    </xf>
    <xf numFmtId="0" fontId="22" fillId="0" borderId="0" xfId="0" applyFont="1" applyFill="1" applyAlignment="1">
      <alignment horizontal="center" vertical="center" wrapText="1"/>
    </xf>
    <xf numFmtId="164" fontId="22" fillId="0" borderId="0" xfId="0" applyNumberFormat="1" applyFont="1" applyFill="1" applyBorder="1" applyAlignment="1">
      <alignment horizontal="center"/>
    </xf>
    <xf numFmtId="164" fontId="22" fillId="0" borderId="11" xfId="0" applyNumberFormat="1" applyFont="1" applyFill="1" applyBorder="1" applyAlignment="1">
      <alignment horizontal="center"/>
    </xf>
    <xf numFmtId="1" fontId="22" fillId="0" borderId="10" xfId="0" applyNumberFormat="1" applyFont="1" applyBorder="1" applyAlignment="1">
      <alignment horizontal="center" vertical="center"/>
    </xf>
    <xf numFmtId="0" fontId="29" fillId="0" borderId="0" xfId="0" applyFont="1" applyAlignment="1">
      <alignment horizontal="center"/>
    </xf>
    <xf numFmtId="164" fontId="21" fillId="0" borderId="10" xfId="0" applyNumberFormat="1" applyFont="1" applyFill="1" applyBorder="1" applyAlignment="1">
      <alignment horizontal="center"/>
    </xf>
    <xf numFmtId="0" fontId="29" fillId="0" borderId="10" xfId="0" applyFont="1" applyBorder="1" applyAlignment="1">
      <alignment/>
    </xf>
    <xf numFmtId="6" fontId="22" fillId="0" borderId="10" xfId="0" applyNumberFormat="1" applyFont="1" applyBorder="1" applyAlignment="1">
      <alignment/>
    </xf>
    <xf numFmtId="0" fontId="22" fillId="0" borderId="10" xfId="44" applyNumberFormat="1" applyFont="1" applyFill="1" applyBorder="1" applyAlignment="1">
      <alignment horizontal="center" vertical="top" wrapText="1"/>
    </xf>
    <xf numFmtId="0" fontId="22" fillId="0" borderId="10" xfId="0" applyFont="1" applyBorder="1" applyAlignment="1">
      <alignment horizontal="center" wrapText="1"/>
    </xf>
    <xf numFmtId="0" fontId="0" fillId="0" borderId="12" xfId="0" applyFont="1" applyFill="1" applyBorder="1" applyAlignment="1">
      <alignment horizontal="center" vertical="top" wrapText="1"/>
    </xf>
    <xf numFmtId="8" fontId="24" fillId="26" borderId="10" xfId="0" applyNumberFormat="1" applyFont="1" applyFill="1" applyBorder="1" applyAlignment="1">
      <alignment horizontal="right" vertical="center"/>
    </xf>
    <xf numFmtId="164" fontId="26" fillId="26" borderId="10" xfId="0" applyNumberFormat="1" applyFont="1" applyFill="1" applyBorder="1" applyAlignment="1">
      <alignment horizontal="right" vertical="center"/>
    </xf>
    <xf numFmtId="0" fontId="26" fillId="0" borderId="0" xfId="0" applyFont="1" applyAlignment="1">
      <alignment horizontal="center"/>
    </xf>
    <xf numFmtId="0" fontId="22" fillId="0" borderId="10" xfId="0" applyFont="1" applyBorder="1" applyAlignment="1">
      <alignment horizontal="center" vertical="top" wrapText="1"/>
    </xf>
    <xf numFmtId="0" fontId="22" fillId="0" borderId="10" xfId="0" applyFont="1" applyBorder="1" applyAlignment="1">
      <alignment horizontal="center"/>
    </xf>
    <xf numFmtId="0" fontId="22" fillId="0" borderId="10" xfId="0" applyFont="1" applyFill="1" applyBorder="1" applyAlignment="1">
      <alignment horizontal="center" vertical="top" wrapText="1"/>
    </xf>
    <xf numFmtId="0" fontId="22" fillId="0" borderId="10" xfId="0" applyFont="1" applyBorder="1" applyAlignment="1">
      <alignment horizontal="center" vertical="top" wrapText="1"/>
    </xf>
    <xf numFmtId="164" fontId="22" fillId="0" borderId="10" xfId="0" applyNumberFormat="1" applyFont="1" applyBorder="1" applyAlignment="1">
      <alignment horizontal="center"/>
    </xf>
    <xf numFmtId="164" fontId="26" fillId="26" borderId="10" xfId="0" applyNumberFormat="1" applyFont="1" applyFill="1" applyBorder="1" applyAlignment="1">
      <alignment horizontal="right"/>
    </xf>
    <xf numFmtId="0" fontId="22" fillId="0" borderId="10" xfId="0" applyFont="1" applyFill="1" applyBorder="1" applyAlignment="1">
      <alignment horizontal="center" wrapText="1"/>
    </xf>
    <xf numFmtId="44" fontId="22" fillId="0" borderId="10" xfId="44" applyFont="1" applyFill="1" applyBorder="1" applyAlignment="1">
      <alignment horizontal="center" wrapText="1"/>
    </xf>
    <xf numFmtId="0" fontId="22" fillId="0" borderId="10" xfId="0" applyFont="1" applyFill="1" applyBorder="1" applyAlignment="1">
      <alignment horizontal="center"/>
    </xf>
    <xf numFmtId="0" fontId="25" fillId="0" borderId="10" xfId="0" applyFont="1" applyFill="1" applyBorder="1" applyAlignment="1">
      <alignment horizontal="center" wrapText="1"/>
    </xf>
    <xf numFmtId="0" fontId="22" fillId="0" borderId="10" xfId="0" applyFont="1" applyFill="1" applyBorder="1" applyAlignment="1">
      <alignment horizontal="center" vertical="center"/>
    </xf>
    <xf numFmtId="0" fontId="22" fillId="0" borderId="10" xfId="0" applyFont="1" applyFill="1" applyBorder="1" applyAlignment="1">
      <alignment horizontal="center" wrapText="1"/>
    </xf>
    <xf numFmtId="0" fontId="22" fillId="0" borderId="10" xfId="0" applyFont="1" applyFill="1" applyBorder="1" applyAlignment="1">
      <alignment horizontal="center"/>
    </xf>
    <xf numFmtId="0" fontId="32" fillId="0" borderId="12" xfId="0" applyFont="1" applyFill="1" applyBorder="1" applyAlignment="1">
      <alignment vertical="center" wrapText="1"/>
    </xf>
    <xf numFmtId="0" fontId="22" fillId="0" borderId="18" xfId="0" applyFont="1" applyBorder="1" applyAlignment="1">
      <alignment horizontal="center"/>
    </xf>
    <xf numFmtId="0" fontId="24" fillId="26" borderId="10" xfId="0" applyFont="1" applyFill="1" applyBorder="1" applyAlignment="1">
      <alignment horizontal="center" vertical="center"/>
    </xf>
    <xf numFmtId="0" fontId="26" fillId="26" borderId="10" xfId="0" applyFont="1" applyFill="1" applyBorder="1" applyAlignment="1">
      <alignment horizontal="center" vertical="center"/>
    </xf>
    <xf numFmtId="0" fontId="26" fillId="25" borderId="10" xfId="0" applyFont="1" applyFill="1" applyBorder="1" applyAlignment="1">
      <alignment horizontal="center" vertical="center" wrapText="1"/>
    </xf>
    <xf numFmtId="0" fontId="24" fillId="26" borderId="10" xfId="0" applyFont="1" applyFill="1" applyBorder="1" applyAlignment="1">
      <alignment horizontal="center"/>
    </xf>
    <xf numFmtId="0" fontId="26" fillId="25" borderId="10" xfId="0" applyFont="1" applyFill="1" applyBorder="1" applyAlignment="1">
      <alignment horizontal="center" vertical="center" wrapText="1"/>
    </xf>
    <xf numFmtId="0" fontId="33" fillId="26" borderId="10" xfId="0" applyFont="1" applyFill="1" applyBorder="1" applyAlignment="1">
      <alignment horizontal="center" vertical="center"/>
    </xf>
    <xf numFmtId="0" fontId="23" fillId="0" borderId="11"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4" fillId="26" borderId="10" xfId="0" applyFont="1" applyFill="1" applyBorder="1" applyAlignment="1">
      <alignment horizontal="center" vertical="center" wrapText="1"/>
    </xf>
    <xf numFmtId="0" fontId="33" fillId="26" borderId="10" xfId="0" applyFont="1" applyFill="1" applyBorder="1" applyAlignment="1">
      <alignment horizontal="center"/>
    </xf>
    <xf numFmtId="0" fontId="22" fillId="29" borderId="10" xfId="0" applyFont="1" applyFill="1" applyBorder="1" applyAlignment="1">
      <alignment horizontal="left"/>
    </xf>
    <xf numFmtId="0" fontId="22" fillId="29" borderId="10" xfId="0" applyFont="1" applyFill="1" applyBorder="1" applyAlignment="1">
      <alignment horizontal="center" vertical="center" wrapText="1"/>
    </xf>
    <xf numFmtId="0" fontId="22" fillId="29" borderId="10" xfId="0" applyFont="1" applyFill="1" applyBorder="1" applyAlignment="1">
      <alignment horizontal="left"/>
    </xf>
    <xf numFmtId="0" fontId="22" fillId="29" borderId="10" xfId="0" applyFont="1" applyFill="1" applyBorder="1" applyAlignment="1">
      <alignment horizontal="left" vertical="center" wrapText="1"/>
    </xf>
    <xf numFmtId="0" fontId="22" fillId="29" borderId="10" xfId="0" applyFont="1" applyFill="1" applyBorder="1" applyAlignment="1">
      <alignment horizontal="left" vertical="center" wrapText="1"/>
    </xf>
    <xf numFmtId="0" fontId="22" fillId="29" borderId="10" xfId="0" applyFont="1" applyFill="1" applyBorder="1" applyAlignment="1">
      <alignment horizontal="center"/>
    </xf>
    <xf numFmtId="0" fontId="29" fillId="29" borderId="10" xfId="0" applyFont="1" applyFill="1" applyBorder="1" applyAlignment="1">
      <alignment horizontal="center"/>
    </xf>
    <xf numFmtId="0" fontId="29" fillId="29" borderId="10" xfId="0" applyFont="1" applyFill="1" applyBorder="1" applyAlignment="1">
      <alignment/>
    </xf>
    <xf numFmtId="0" fontId="22" fillId="29" borderId="10" xfId="0" applyFont="1" applyFill="1" applyBorder="1" applyAlignment="1">
      <alignment vertical="center" wrapText="1"/>
    </xf>
    <xf numFmtId="0" fontId="22" fillId="29" borderId="10" xfId="0" applyFont="1" applyFill="1" applyBorder="1" applyAlignment="1">
      <alignment horizontal="center" wrapText="1"/>
    </xf>
    <xf numFmtId="0" fontId="22" fillId="29" borderId="10" xfId="0" applyFont="1" applyFill="1" applyBorder="1" applyAlignment="1">
      <alignment vertical="top" wrapText="1"/>
    </xf>
    <xf numFmtId="0" fontId="22" fillId="29" borderId="10" xfId="0" applyFont="1" applyFill="1" applyBorder="1" applyAlignment="1">
      <alignment horizontal="justify" vertical="top" wrapText="1"/>
    </xf>
    <xf numFmtId="0" fontId="22" fillId="29" borderId="10" xfId="0" applyFont="1" applyFill="1" applyBorder="1" applyAlignment="1">
      <alignment horizontal="center"/>
    </xf>
    <xf numFmtId="0" fontId="22" fillId="30" borderId="10" xfId="0" applyFont="1" applyFill="1" applyBorder="1" applyAlignment="1">
      <alignment horizontal="left" vertical="top" wrapText="1"/>
    </xf>
    <xf numFmtId="0" fontId="22" fillId="29" borderId="10" xfId="0" applyFont="1" applyFill="1" applyBorder="1" applyAlignment="1">
      <alignment horizontal="center" wrapText="1"/>
    </xf>
    <xf numFmtId="0" fontId="22" fillId="29" borderId="10" xfId="0" applyFont="1" applyFill="1" applyBorder="1" applyAlignment="1">
      <alignment horizontal="left" wrapText="1"/>
    </xf>
    <xf numFmtId="0" fontId="22" fillId="29" borderId="10" xfId="0" applyFont="1" applyFill="1" applyBorder="1" applyAlignment="1">
      <alignment vertical="top" wrapText="1"/>
    </xf>
    <xf numFmtId="0" fontId="24" fillId="26" borderId="10" xfId="0" applyFont="1" applyFill="1" applyBorder="1" applyAlignment="1">
      <alignment horizontal="center" vertical="top" wrapText="1"/>
    </xf>
    <xf numFmtId="0" fontId="26" fillId="26" borderId="10" xfId="0" applyFont="1" applyFill="1" applyBorder="1" applyAlignment="1">
      <alignment horizontal="center" vertical="top" wrapText="1"/>
    </xf>
    <xf numFmtId="0" fontId="22" fillId="0" borderId="19" xfId="0" applyFont="1" applyBorder="1" applyAlignment="1">
      <alignment horizontal="center"/>
    </xf>
    <xf numFmtId="0" fontId="22" fillId="0" borderId="20" xfId="0" applyFont="1" applyBorder="1" applyAlignment="1">
      <alignment horizontal="center"/>
    </xf>
    <xf numFmtId="0" fontId="26" fillId="26" borderId="10" xfId="0" applyFont="1" applyFill="1" applyBorder="1" applyAlignment="1">
      <alignment horizontal="left" vertical="center" wrapText="1"/>
    </xf>
    <xf numFmtId="0" fontId="26" fillId="25" borderId="11"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25" fillId="29" borderId="10" xfId="0" applyFont="1" applyFill="1" applyBorder="1" applyAlignment="1">
      <alignment horizontal="left" wrapText="1"/>
    </xf>
    <xf numFmtId="0" fontId="25" fillId="29" borderId="10" xfId="0" applyFont="1" applyFill="1" applyBorder="1" applyAlignment="1">
      <alignment horizontal="center" wrapText="1"/>
    </xf>
    <xf numFmtId="0" fontId="22" fillId="29" borderId="10" xfId="0" applyFont="1" applyFill="1" applyBorder="1" applyAlignment="1">
      <alignment horizontal="left" vertical="center"/>
    </xf>
    <xf numFmtId="0" fontId="22" fillId="29" borderId="10" xfId="0" applyFont="1" applyFill="1" applyBorder="1" applyAlignment="1">
      <alignment horizontal="center" vertical="center"/>
    </xf>
    <xf numFmtId="0" fontId="22" fillId="29" borderId="10" xfId="0" applyFont="1" applyFill="1" applyBorder="1" applyAlignment="1">
      <alignment/>
    </xf>
    <xf numFmtId="0" fontId="22" fillId="29" borderId="10" xfId="0" applyFont="1" applyFill="1" applyBorder="1" applyAlignment="1">
      <alignment horizontal="left"/>
    </xf>
    <xf numFmtId="0" fontId="22" fillId="29" borderId="10" xfId="0" applyFont="1" applyFill="1" applyBorder="1" applyAlignment="1">
      <alignment horizontal="center"/>
    </xf>
    <xf numFmtId="0" fontId="22" fillId="29" borderId="10" xfId="0" applyFont="1" applyFill="1" applyBorder="1" applyAlignment="1">
      <alignment horizontal="justify" vertical="top" wrapText="1"/>
    </xf>
    <xf numFmtId="0" fontId="29" fillId="29" borderId="10" xfId="0" applyFont="1" applyFill="1" applyBorder="1" applyAlignment="1">
      <alignment horizontal="left"/>
    </xf>
    <xf numFmtId="0" fontId="29" fillId="29" borderId="10" xfId="0" applyFont="1" applyFill="1" applyBorder="1" applyAlignment="1">
      <alignment horizontal="left" wrapText="1"/>
    </xf>
    <xf numFmtId="0" fontId="22" fillId="29" borderId="10" xfId="0" applyFont="1" applyFill="1" applyBorder="1" applyAlignment="1">
      <alignment horizontal="left" vertical="center"/>
    </xf>
    <xf numFmtId="0" fontId="22" fillId="29" borderId="15" xfId="0" applyFont="1" applyFill="1" applyBorder="1" applyAlignment="1">
      <alignment horizontal="left" vertical="center"/>
    </xf>
    <xf numFmtId="0" fontId="22" fillId="29" borderId="10" xfId="0" applyFont="1" applyFill="1" applyBorder="1" applyAlignment="1">
      <alignment horizontal="center" vertical="center"/>
    </xf>
    <xf numFmtId="0" fontId="22" fillId="29" borderId="12" xfId="0" applyFont="1" applyFill="1" applyBorder="1" applyAlignment="1">
      <alignment horizontal="left" vertical="center"/>
    </xf>
    <xf numFmtId="0" fontId="22" fillId="29" borderId="21" xfId="0" applyFont="1" applyFill="1" applyBorder="1" applyAlignment="1">
      <alignment horizontal="left" vertical="center"/>
    </xf>
    <xf numFmtId="0" fontId="22" fillId="29" borderId="10" xfId="0" applyFont="1" applyFill="1" applyBorder="1" applyAlignment="1">
      <alignment/>
    </xf>
    <xf numFmtId="1" fontId="22" fillId="29" borderId="10" xfId="0" applyNumberFormat="1" applyFont="1" applyFill="1" applyBorder="1" applyAlignment="1">
      <alignment horizontal="left"/>
    </xf>
    <xf numFmtId="1" fontId="22" fillId="29" borderId="10" xfId="0" applyNumberFormat="1" applyFont="1" applyFill="1" applyBorder="1" applyAlignment="1">
      <alignment horizontal="center"/>
    </xf>
    <xf numFmtId="0" fontId="22" fillId="29" borderId="10" xfId="0" applyFont="1" applyFill="1" applyBorder="1" applyAlignment="1">
      <alignment vertical="center"/>
    </xf>
    <xf numFmtId="0" fontId="22" fillId="29" borderId="10" xfId="0" applyFont="1" applyFill="1" applyBorder="1" applyAlignment="1">
      <alignment vertical="center"/>
    </xf>
    <xf numFmtId="0" fontId="22" fillId="29" borderId="10" xfId="0" applyFont="1" applyFill="1" applyBorder="1" applyAlignment="1">
      <alignment wrapText="1"/>
    </xf>
    <xf numFmtId="0" fontId="37" fillId="29" borderId="10" xfId="0" applyFont="1" applyFill="1" applyBorder="1" applyAlignment="1">
      <alignment/>
    </xf>
    <xf numFmtId="0" fontId="29" fillId="29" borderId="10" xfId="0" applyFont="1" applyFill="1" applyBorder="1" applyAlignment="1">
      <alignment horizontal="center" vertical="top"/>
    </xf>
    <xf numFmtId="0" fontId="22" fillId="29" borderId="10" xfId="0" applyFont="1" applyFill="1" applyBorder="1" applyAlignment="1">
      <alignment horizontal="left" vertical="center"/>
    </xf>
    <xf numFmtId="0" fontId="29" fillId="29" borderId="10" xfId="0" applyFont="1" applyFill="1" applyBorder="1" applyAlignment="1">
      <alignment/>
    </xf>
    <xf numFmtId="0" fontId="24" fillId="29" borderId="10" xfId="0" applyFont="1" applyFill="1" applyBorder="1" applyAlignment="1">
      <alignment/>
    </xf>
    <xf numFmtId="1" fontId="24" fillId="29" borderId="10" xfId="0" applyNumberFormat="1" applyFont="1" applyFill="1" applyBorder="1" applyAlignment="1">
      <alignment horizontal="left"/>
    </xf>
    <xf numFmtId="1" fontId="22" fillId="29" borderId="10" xfId="0" applyNumberFormat="1" applyFont="1" applyFill="1" applyBorder="1" applyAlignment="1">
      <alignment/>
    </xf>
    <xf numFmtId="1" fontId="22" fillId="29" borderId="10" xfId="0" applyNumberFormat="1" applyFont="1" applyFill="1" applyBorder="1" applyAlignment="1">
      <alignment horizontal="left"/>
    </xf>
    <xf numFmtId="0" fontId="26" fillId="26" borderId="10" xfId="0" applyFont="1" applyFill="1" applyBorder="1" applyAlignment="1">
      <alignment horizontal="center"/>
    </xf>
    <xf numFmtId="0" fontId="26" fillId="26" borderId="11" xfId="0" applyFont="1" applyFill="1" applyBorder="1" applyAlignment="1">
      <alignment horizontal="left" wrapText="1"/>
    </xf>
    <xf numFmtId="0" fontId="26" fillId="26" borderId="12" xfId="0" applyFont="1" applyFill="1" applyBorder="1" applyAlignment="1">
      <alignment horizontal="left" wrapText="1"/>
    </xf>
    <xf numFmtId="0" fontId="24" fillId="26" borderId="10" xfId="0" applyFont="1" applyFill="1" applyBorder="1" applyAlignment="1">
      <alignment horizontal="center"/>
    </xf>
    <xf numFmtId="0" fontId="26" fillId="26" borderId="10" xfId="0" applyFont="1" applyFill="1" applyBorder="1" applyAlignment="1">
      <alignment horizontal="center"/>
    </xf>
    <xf numFmtId="0" fontId="41" fillId="0" borderId="10" xfId="0" applyFont="1" applyFill="1" applyBorder="1" applyAlignment="1">
      <alignment horizontal="left" vertical="center" wrapText="1"/>
    </xf>
    <xf numFmtId="0" fontId="24" fillId="26" borderId="10" xfId="0" applyFont="1" applyFill="1" applyBorder="1" applyAlignment="1">
      <alignment horizontal="center" vertical="center" wrapText="1"/>
    </xf>
    <xf numFmtId="0" fontId="24" fillId="26" borderId="11" xfId="0" applyFont="1" applyFill="1" applyBorder="1" applyAlignment="1">
      <alignment horizontal="center" vertical="center" wrapText="1"/>
    </xf>
    <xf numFmtId="0" fontId="24" fillId="26" borderId="19" xfId="0" applyFont="1" applyFill="1" applyBorder="1" applyAlignment="1">
      <alignment horizontal="center" vertical="center" wrapText="1"/>
    </xf>
    <xf numFmtId="0" fontId="22" fillId="0" borderId="12" xfId="0" applyFont="1" applyBorder="1" applyAlignment="1">
      <alignment horizontal="center"/>
    </xf>
    <xf numFmtId="0" fontId="26" fillId="25" borderId="10" xfId="0" applyFont="1" applyFill="1" applyBorder="1" applyAlignment="1">
      <alignment horizontal="center" vertical="center"/>
    </xf>
    <xf numFmtId="0" fontId="26" fillId="26" borderId="11" xfId="0" applyFont="1" applyFill="1" applyBorder="1" applyAlignment="1">
      <alignment horizontal="center" vertical="center"/>
    </xf>
    <xf numFmtId="0" fontId="26" fillId="26" borderId="12" xfId="0" applyFont="1" applyFill="1" applyBorder="1" applyAlignment="1">
      <alignment horizontal="center" vertical="center"/>
    </xf>
    <xf numFmtId="0" fontId="23" fillId="0" borderId="1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40" fillId="26" borderId="10" xfId="0" applyFont="1" applyFill="1" applyBorder="1" applyAlignment="1">
      <alignment horizontal="center" vertical="center" wrapText="1"/>
    </xf>
    <xf numFmtId="0" fontId="23" fillId="0" borderId="19" xfId="0" applyFont="1" applyBorder="1" applyAlignment="1">
      <alignment horizontal="right"/>
    </xf>
    <xf numFmtId="0" fontId="23" fillId="0" borderId="12" xfId="0" applyFont="1" applyBorder="1" applyAlignment="1">
      <alignment horizontal="right"/>
    </xf>
    <xf numFmtId="0" fontId="24" fillId="26" borderId="10" xfId="0" applyNumberFormat="1" applyFont="1" applyFill="1" applyBorder="1" applyAlignment="1">
      <alignment horizontal="center" vertical="center" wrapText="1"/>
    </xf>
    <xf numFmtId="0" fontId="22" fillId="0" borderId="0" xfId="0" applyFont="1" applyBorder="1" applyAlignment="1">
      <alignment horizontal="left"/>
    </xf>
    <xf numFmtId="0" fontId="23" fillId="0" borderId="12" xfId="0" applyFont="1" applyFill="1" applyBorder="1" applyAlignment="1">
      <alignment horizontal="left" vertical="center" wrapText="1"/>
    </xf>
    <xf numFmtId="0" fontId="24" fillId="26" borderId="11" xfId="0" applyFont="1" applyFill="1" applyBorder="1" applyAlignment="1">
      <alignment horizontal="left"/>
    </xf>
    <xf numFmtId="0" fontId="24" fillId="26" borderId="19" xfId="0" applyFont="1" applyFill="1" applyBorder="1" applyAlignment="1">
      <alignment horizontal="left"/>
    </xf>
    <xf numFmtId="0" fontId="24" fillId="26" borderId="12" xfId="0" applyFont="1" applyFill="1" applyBorder="1" applyAlignment="1">
      <alignment horizontal="left"/>
    </xf>
    <xf numFmtId="0" fontId="23" fillId="0" borderId="10" xfId="0" applyFont="1" applyFill="1" applyBorder="1" applyAlignment="1">
      <alignment horizontal="left" vertical="center" wrapText="1"/>
    </xf>
    <xf numFmtId="0" fontId="24" fillId="26" borderId="11" xfId="0" applyFont="1" applyFill="1" applyBorder="1" applyAlignment="1">
      <alignment horizontal="center"/>
    </xf>
    <xf numFmtId="0" fontId="24" fillId="26" borderId="12" xfId="0" applyFont="1" applyFill="1" applyBorder="1" applyAlignment="1">
      <alignment horizontal="center"/>
    </xf>
    <xf numFmtId="1" fontId="26" fillId="26" borderId="10" xfId="0" applyNumberFormat="1" applyFont="1" applyFill="1" applyBorder="1" applyAlignment="1">
      <alignment horizontal="center"/>
    </xf>
    <xf numFmtId="1" fontId="26" fillId="25" borderId="10" xfId="0" applyNumberFormat="1" applyFont="1" applyFill="1" applyBorder="1" applyAlignment="1">
      <alignment horizontal="center"/>
    </xf>
    <xf numFmtId="1" fontId="24" fillId="26" borderId="10" xfId="0" applyNumberFormat="1" applyFont="1" applyFill="1" applyBorder="1" applyAlignment="1">
      <alignment horizontal="center"/>
    </xf>
    <xf numFmtId="0" fontId="26" fillId="25" borderId="10" xfId="0" applyFont="1" applyFill="1" applyBorder="1" applyAlignment="1">
      <alignment horizontal="center"/>
    </xf>
    <xf numFmtId="0" fontId="24" fillId="25" borderId="10" xfId="0" applyFont="1" applyFill="1" applyBorder="1" applyAlignment="1">
      <alignment horizontal="center" vertical="center"/>
    </xf>
    <xf numFmtId="0" fontId="22" fillId="25" borderId="10" xfId="0" applyFont="1" applyFill="1" applyBorder="1" applyAlignment="1">
      <alignment horizontal="center" vertical="center"/>
    </xf>
    <xf numFmtId="1" fontId="24" fillId="26" borderId="11" xfId="0" applyNumberFormat="1" applyFont="1" applyFill="1" applyBorder="1" applyAlignment="1">
      <alignment horizontal="center"/>
    </xf>
    <xf numFmtId="1" fontId="24" fillId="26" borderId="12" xfId="0" applyNumberFormat="1" applyFont="1" applyFill="1" applyBorder="1" applyAlignment="1">
      <alignment horizontal="center"/>
    </xf>
    <xf numFmtId="0" fontId="26" fillId="26" borderId="10" xfId="0" applyFont="1" applyFill="1" applyBorder="1" applyAlignment="1">
      <alignment horizontal="center" vertical="center"/>
    </xf>
    <xf numFmtId="0" fontId="26" fillId="25" borderId="10" xfId="0" applyFont="1" applyFill="1" applyBorder="1" applyAlignment="1">
      <alignment horizontal="center"/>
    </xf>
    <xf numFmtId="0" fontId="23" fillId="0" borderId="10" xfId="0" applyFont="1" applyFill="1" applyBorder="1" applyAlignment="1">
      <alignment horizontal="left" vertical="center" wrapText="1"/>
    </xf>
    <xf numFmtId="0" fontId="26" fillId="25" borderId="11" xfId="0" applyFont="1" applyFill="1" applyBorder="1" applyAlignment="1">
      <alignment horizontal="center"/>
    </xf>
    <xf numFmtId="0" fontId="26" fillId="25" borderId="12" xfId="0" applyFont="1" applyFill="1" applyBorder="1" applyAlignment="1">
      <alignment horizont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n_definito" xfId="49"/>
    <cellStyle name="Normale_Fornitura pasti "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tabColor indexed="36"/>
    <pageSetUpPr fitToPage="1"/>
  </sheetPr>
  <dimension ref="A1:C17"/>
  <sheetViews>
    <sheetView workbookViewId="0" topLeftCell="A1">
      <selection activeCell="B3" sqref="B3"/>
    </sheetView>
  </sheetViews>
  <sheetFormatPr defaultColWidth="9.140625" defaultRowHeight="12.75"/>
  <cols>
    <col min="1" max="1" width="5.7109375" style="44" customWidth="1"/>
    <col min="2" max="2" width="62.140625" style="44" customWidth="1"/>
    <col min="3" max="3" width="65.57421875" style="44" customWidth="1"/>
    <col min="4" max="4" width="22.7109375" style="44" customWidth="1"/>
    <col min="5" max="5" width="21.00390625" style="44" customWidth="1"/>
    <col min="6" max="6" width="19.00390625" style="44" customWidth="1"/>
    <col min="7" max="7" width="14.28125" style="44" customWidth="1"/>
    <col min="8" max="16384" width="9.140625" style="44" customWidth="1"/>
  </cols>
  <sheetData>
    <row r="1" spans="1:3" ht="30" customHeight="1">
      <c r="A1" s="85"/>
      <c r="B1" s="90" t="s">
        <v>111</v>
      </c>
      <c r="C1" s="87"/>
    </row>
    <row r="2" spans="1:3" ht="15" customHeight="1">
      <c r="A2" s="88">
        <v>1</v>
      </c>
      <c r="B2" s="87" t="s">
        <v>110</v>
      </c>
      <c r="C2" s="87"/>
    </row>
    <row r="3" spans="1:3" ht="15" customHeight="1">
      <c r="A3" s="88">
        <v>2</v>
      </c>
      <c r="B3" s="87" t="s">
        <v>44</v>
      </c>
      <c r="C3" s="87"/>
    </row>
    <row r="4" spans="1:3" ht="15" customHeight="1">
      <c r="A4" s="88">
        <v>3</v>
      </c>
      <c r="B4" s="87" t="s">
        <v>107</v>
      </c>
      <c r="C4" s="87"/>
    </row>
    <row r="5" spans="1:3" ht="15" customHeight="1">
      <c r="A5" s="88">
        <v>4</v>
      </c>
      <c r="B5" s="87" t="s">
        <v>73</v>
      </c>
      <c r="C5" s="87"/>
    </row>
    <row r="6" spans="1:3" ht="15" customHeight="1">
      <c r="A6" s="88">
        <v>5</v>
      </c>
      <c r="B6" s="87" t="s">
        <v>101</v>
      </c>
      <c r="C6" s="87"/>
    </row>
    <row r="7" spans="1:3" ht="15" customHeight="1">
      <c r="A7" s="88">
        <v>6</v>
      </c>
      <c r="B7" s="87" t="s">
        <v>102</v>
      </c>
      <c r="C7" s="87"/>
    </row>
    <row r="8" spans="1:3" ht="15" customHeight="1">
      <c r="A8" s="88">
        <v>7</v>
      </c>
      <c r="B8" s="87" t="s">
        <v>103</v>
      </c>
      <c r="C8" s="87"/>
    </row>
    <row r="9" spans="1:3" ht="15" customHeight="1">
      <c r="A9" s="88">
        <v>8</v>
      </c>
      <c r="B9" s="87" t="s">
        <v>104</v>
      </c>
      <c r="C9" s="87"/>
    </row>
    <row r="10" spans="1:3" ht="15" customHeight="1">
      <c r="A10" s="88">
        <v>9</v>
      </c>
      <c r="B10" s="87" t="s">
        <v>74</v>
      </c>
      <c r="C10" s="87"/>
    </row>
    <row r="11" spans="1:3" ht="15" customHeight="1">
      <c r="A11" s="88">
        <v>10</v>
      </c>
      <c r="B11" s="87" t="s">
        <v>108</v>
      </c>
      <c r="C11" s="89"/>
    </row>
    <row r="12" spans="1:3" ht="15" customHeight="1">
      <c r="A12" s="88">
        <v>11</v>
      </c>
      <c r="B12" s="87" t="s">
        <v>75</v>
      </c>
      <c r="C12" s="87"/>
    </row>
    <row r="13" spans="1:3" ht="15" customHeight="1">
      <c r="A13" s="88">
        <v>12</v>
      </c>
      <c r="B13" s="87" t="s">
        <v>109</v>
      </c>
      <c r="C13" s="87"/>
    </row>
    <row r="14" spans="1:3" ht="15" customHeight="1">
      <c r="A14" s="88">
        <v>13</v>
      </c>
      <c r="B14" s="87" t="s">
        <v>105</v>
      </c>
      <c r="C14" s="87"/>
    </row>
    <row r="15" spans="1:3" ht="15" customHeight="1">
      <c r="A15" s="88">
        <v>14</v>
      </c>
      <c r="B15" s="87" t="s">
        <v>76</v>
      </c>
      <c r="C15" s="87"/>
    </row>
    <row r="16" spans="1:3" ht="15" customHeight="1">
      <c r="A16" s="88">
        <v>15</v>
      </c>
      <c r="B16" s="87" t="s">
        <v>106</v>
      </c>
      <c r="C16" s="87"/>
    </row>
    <row r="17" ht="15" customHeight="1">
      <c r="A17" s="88"/>
    </row>
    <row r="18" ht="15" customHeight="1"/>
  </sheetData>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Foglio7">
    <tabColor indexed="27"/>
  </sheetPr>
  <dimension ref="A1:AD43"/>
  <sheetViews>
    <sheetView workbookViewId="0" topLeftCell="A37">
      <selection activeCell="A43" sqref="A43"/>
    </sheetView>
  </sheetViews>
  <sheetFormatPr defaultColWidth="9.140625" defaultRowHeight="12.75"/>
  <cols>
    <col min="1" max="2" width="20.7109375" style="44" customWidth="1"/>
    <col min="3" max="3" width="20.7109375" style="80" customWidth="1"/>
    <col min="4" max="4" width="7.7109375" style="44" customWidth="1"/>
    <col min="5" max="6" width="5.7109375" style="44" customWidth="1"/>
    <col min="7" max="8" width="9.7109375" style="44" customWidth="1"/>
    <col min="9" max="9" width="13.7109375" style="44" customWidth="1"/>
    <col min="10" max="10" width="10.140625" style="44" customWidth="1"/>
    <col min="11" max="11" width="11.7109375" style="44" customWidth="1"/>
    <col min="12" max="12" width="15.7109375" style="44" customWidth="1"/>
    <col min="13" max="16384" width="9.140625" style="44" customWidth="1"/>
  </cols>
  <sheetData>
    <row r="1" spans="1:12" ht="30" customHeight="1">
      <c r="A1" s="314" t="s">
        <v>157</v>
      </c>
      <c r="B1" s="315"/>
      <c r="C1" s="315"/>
      <c r="D1" s="315"/>
      <c r="E1" s="315"/>
      <c r="F1" s="315"/>
      <c r="G1" s="315"/>
      <c r="H1" s="315"/>
      <c r="I1" s="315"/>
      <c r="J1" s="315"/>
      <c r="K1" s="315"/>
      <c r="L1" s="160">
        <v>40070235</v>
      </c>
    </row>
    <row r="2" spans="1:12" ht="56.25" customHeight="1">
      <c r="A2" s="377" t="s">
        <v>71</v>
      </c>
      <c r="B2" s="377"/>
      <c r="C2" s="377"/>
      <c r="D2" s="377"/>
      <c r="E2" s="377"/>
      <c r="F2" s="377"/>
      <c r="G2" s="377"/>
      <c r="H2" s="377"/>
      <c r="I2" s="377"/>
      <c r="J2" s="377"/>
      <c r="K2" s="377"/>
      <c r="L2" s="377"/>
    </row>
    <row r="3" spans="1:12" s="87" customFormat="1" ht="15" customHeight="1">
      <c r="A3" s="381" t="s">
        <v>77</v>
      </c>
      <c r="B3" s="381"/>
      <c r="C3" s="48"/>
      <c r="D3" s="48"/>
      <c r="E3" s="48"/>
      <c r="F3" s="48"/>
      <c r="G3" s="48"/>
      <c r="H3" s="48"/>
      <c r="I3" s="48"/>
      <c r="J3" s="48"/>
      <c r="K3" s="48"/>
      <c r="L3" s="48"/>
    </row>
    <row r="4" spans="1:12" ht="30" customHeight="1">
      <c r="A4" s="52" t="s">
        <v>5</v>
      </c>
      <c r="B4" s="52" t="s">
        <v>1</v>
      </c>
      <c r="C4" s="52" t="s">
        <v>3</v>
      </c>
      <c r="D4" s="52" t="s">
        <v>120</v>
      </c>
      <c r="E4" s="52" t="s">
        <v>90</v>
      </c>
      <c r="F4" s="52" t="s">
        <v>91</v>
      </c>
      <c r="G4" s="52" t="s">
        <v>140</v>
      </c>
      <c r="H4" s="52" t="s">
        <v>127</v>
      </c>
      <c r="I4" s="52" t="s">
        <v>159</v>
      </c>
      <c r="J4" s="52" t="s">
        <v>119</v>
      </c>
      <c r="K4" s="52" t="s">
        <v>175</v>
      </c>
      <c r="L4" s="52" t="s">
        <v>185</v>
      </c>
    </row>
    <row r="5" spans="1:12" s="87" customFormat="1" ht="15" customHeight="1">
      <c r="A5" s="374" t="s">
        <v>93</v>
      </c>
      <c r="B5" s="374"/>
      <c r="C5" s="84"/>
      <c r="D5" s="143">
        <v>0</v>
      </c>
      <c r="E5" s="143">
        <v>0</v>
      </c>
      <c r="F5" s="143">
        <v>0</v>
      </c>
      <c r="G5" s="143">
        <v>0</v>
      </c>
      <c r="H5" s="143">
        <v>0</v>
      </c>
      <c r="I5" s="143"/>
      <c r="J5" s="143"/>
      <c r="K5" s="143">
        <v>0</v>
      </c>
      <c r="L5" s="162">
        <v>0</v>
      </c>
    </row>
    <row r="6" spans="1:12" s="87" customFormat="1" ht="15" customHeight="1">
      <c r="A6" s="381" t="s">
        <v>78</v>
      </c>
      <c r="B6" s="381"/>
      <c r="C6" s="48"/>
      <c r="D6" s="48"/>
      <c r="E6" s="48"/>
      <c r="F6" s="48"/>
      <c r="G6" s="48"/>
      <c r="H6" s="48"/>
      <c r="I6" s="48"/>
      <c r="J6" s="48"/>
      <c r="K6" s="48"/>
      <c r="L6" s="48"/>
    </row>
    <row r="7" spans="1:12" ht="38.25" customHeight="1">
      <c r="A7" s="52" t="s">
        <v>5</v>
      </c>
      <c r="B7" s="52" t="s">
        <v>1</v>
      </c>
      <c r="C7" s="52" t="s">
        <v>3</v>
      </c>
      <c r="D7" s="52" t="s">
        <v>120</v>
      </c>
      <c r="E7" s="52" t="s">
        <v>90</v>
      </c>
      <c r="F7" s="52" t="s">
        <v>91</v>
      </c>
      <c r="G7" s="52" t="s">
        <v>140</v>
      </c>
      <c r="H7" s="52" t="s">
        <v>127</v>
      </c>
      <c r="I7" s="52" t="s">
        <v>159</v>
      </c>
      <c r="J7" s="52" t="s">
        <v>119</v>
      </c>
      <c r="K7" s="52" t="s">
        <v>175</v>
      </c>
      <c r="L7" s="52" t="s">
        <v>185</v>
      </c>
    </row>
    <row r="8" spans="1:12" ht="15" customHeight="1">
      <c r="A8" s="357"/>
      <c r="B8" s="357"/>
      <c r="C8" s="359"/>
      <c r="D8" s="147">
        <v>1</v>
      </c>
      <c r="E8" s="55"/>
      <c r="F8" s="147">
        <v>1</v>
      </c>
      <c r="G8" s="147">
        <v>1</v>
      </c>
      <c r="H8" s="55"/>
      <c r="I8" s="55"/>
      <c r="J8" s="139">
        <v>1937</v>
      </c>
      <c r="K8" s="96">
        <v>24</v>
      </c>
      <c r="L8" s="55"/>
    </row>
    <row r="9" spans="1:12" ht="15" customHeight="1">
      <c r="A9" s="357"/>
      <c r="B9" s="357"/>
      <c r="C9" s="359"/>
      <c r="D9" s="147">
        <v>1</v>
      </c>
      <c r="E9" s="147">
        <v>1</v>
      </c>
      <c r="F9" s="147"/>
      <c r="G9" s="147">
        <v>1</v>
      </c>
      <c r="H9" s="55"/>
      <c r="I9" s="55"/>
      <c r="J9" s="139">
        <v>1943</v>
      </c>
      <c r="K9" s="96">
        <v>9.5</v>
      </c>
      <c r="L9" s="55"/>
    </row>
    <row r="10" spans="1:12" ht="15" customHeight="1">
      <c r="A10" s="357"/>
      <c r="B10" s="357"/>
      <c r="C10" s="359"/>
      <c r="D10" s="147">
        <v>1</v>
      </c>
      <c r="E10" s="147"/>
      <c r="F10" s="147">
        <v>1</v>
      </c>
      <c r="G10" s="147">
        <v>1</v>
      </c>
      <c r="H10" s="55"/>
      <c r="I10" s="55"/>
      <c r="J10" s="139">
        <v>1940</v>
      </c>
      <c r="K10" s="96">
        <v>12</v>
      </c>
      <c r="L10" s="55"/>
    </row>
    <row r="11" spans="1:12" ht="15" customHeight="1">
      <c r="A11" s="357"/>
      <c r="B11" s="357"/>
      <c r="C11" s="359"/>
      <c r="D11" s="147">
        <v>1</v>
      </c>
      <c r="E11" s="147">
        <v>1</v>
      </c>
      <c r="F11" s="147"/>
      <c r="G11" s="147">
        <v>1</v>
      </c>
      <c r="H11" s="55"/>
      <c r="I11" s="55"/>
      <c r="J11" s="139">
        <v>1936</v>
      </c>
      <c r="K11" s="96">
        <v>24</v>
      </c>
      <c r="L11" s="55"/>
    </row>
    <row r="12" spans="1:12" ht="15" customHeight="1">
      <c r="A12" s="357"/>
      <c r="B12" s="357"/>
      <c r="C12" s="359"/>
      <c r="D12" s="147">
        <v>1</v>
      </c>
      <c r="E12" s="147"/>
      <c r="F12" s="147">
        <v>1</v>
      </c>
      <c r="G12" s="147">
        <v>1</v>
      </c>
      <c r="H12" s="55"/>
      <c r="I12" s="55"/>
      <c r="J12" s="139">
        <v>1940</v>
      </c>
      <c r="K12" s="96">
        <v>149.5</v>
      </c>
      <c r="L12" s="55"/>
    </row>
    <row r="13" spans="1:12" ht="15" customHeight="1">
      <c r="A13" s="357"/>
      <c r="B13" s="357"/>
      <c r="C13" s="359"/>
      <c r="D13" s="147">
        <v>1</v>
      </c>
      <c r="E13" s="147"/>
      <c r="F13" s="147">
        <v>1</v>
      </c>
      <c r="G13" s="147">
        <v>1</v>
      </c>
      <c r="H13" s="55"/>
      <c r="I13" s="55"/>
      <c r="J13" s="139">
        <v>1934</v>
      </c>
      <c r="K13" s="96">
        <v>98</v>
      </c>
      <c r="L13" s="55"/>
    </row>
    <row r="14" spans="1:12" ht="15" customHeight="1">
      <c r="A14" s="357"/>
      <c r="B14" s="357"/>
      <c r="C14" s="359"/>
      <c r="D14" s="147">
        <v>1</v>
      </c>
      <c r="E14" s="147">
        <v>1</v>
      </c>
      <c r="F14" s="147"/>
      <c r="G14" s="147">
        <v>1</v>
      </c>
      <c r="H14" s="55"/>
      <c r="I14" s="55"/>
      <c r="J14" s="139">
        <v>1929</v>
      </c>
      <c r="K14" s="96">
        <v>21</v>
      </c>
      <c r="L14" s="55"/>
    </row>
    <row r="15" spans="1:12" ht="15" customHeight="1">
      <c r="A15" s="357"/>
      <c r="B15" s="357"/>
      <c r="C15" s="359"/>
      <c r="D15" s="147">
        <v>1</v>
      </c>
      <c r="E15" s="147"/>
      <c r="F15" s="147">
        <v>1</v>
      </c>
      <c r="G15" s="147">
        <v>1</v>
      </c>
      <c r="H15" s="55"/>
      <c r="I15" s="55"/>
      <c r="J15" s="139">
        <v>1928</v>
      </c>
      <c r="K15" s="96">
        <v>8</v>
      </c>
      <c r="L15" s="55"/>
    </row>
    <row r="16" spans="1:12" ht="15" customHeight="1">
      <c r="A16" s="357"/>
      <c r="B16" s="357"/>
      <c r="C16" s="359"/>
      <c r="D16" s="147">
        <v>1</v>
      </c>
      <c r="E16" s="147"/>
      <c r="F16" s="147">
        <v>1</v>
      </c>
      <c r="G16" s="147">
        <v>1</v>
      </c>
      <c r="H16" s="55"/>
      <c r="I16" s="55"/>
      <c r="J16" s="139">
        <v>1966</v>
      </c>
      <c r="K16" s="96">
        <v>4</v>
      </c>
      <c r="L16" s="55"/>
    </row>
    <row r="17" spans="1:12" ht="15" customHeight="1">
      <c r="A17" s="357"/>
      <c r="B17" s="357"/>
      <c r="C17" s="359"/>
      <c r="D17" s="147">
        <v>1</v>
      </c>
      <c r="E17" s="147">
        <v>1</v>
      </c>
      <c r="F17" s="147"/>
      <c r="G17" s="147">
        <v>1</v>
      </c>
      <c r="H17" s="55"/>
      <c r="I17" s="55"/>
      <c r="J17" s="139">
        <v>1922</v>
      </c>
      <c r="K17" s="96">
        <v>138</v>
      </c>
      <c r="L17" s="55"/>
    </row>
    <row r="18" spans="1:12" ht="15" customHeight="1">
      <c r="A18" s="357"/>
      <c r="B18" s="357"/>
      <c r="C18" s="359"/>
      <c r="D18" s="147">
        <v>1</v>
      </c>
      <c r="E18" s="147"/>
      <c r="F18" s="147">
        <v>1</v>
      </c>
      <c r="G18" s="147">
        <v>1</v>
      </c>
      <c r="H18" s="55"/>
      <c r="I18" s="55"/>
      <c r="J18" s="139">
        <v>1961</v>
      </c>
      <c r="K18" s="96">
        <v>9.5</v>
      </c>
      <c r="L18" s="55"/>
    </row>
    <row r="19" spans="1:12" s="87" customFormat="1" ht="15" customHeight="1">
      <c r="A19" s="167" t="s">
        <v>94</v>
      </c>
      <c r="B19" s="167"/>
      <c r="C19" s="143"/>
      <c r="D19" s="143">
        <f>SUM(D8:D18)</f>
        <v>11</v>
      </c>
      <c r="E19" s="143">
        <f>SUM(E8:E18)</f>
        <v>4</v>
      </c>
      <c r="F19" s="143">
        <f>SUM(F8:F18)</f>
        <v>7</v>
      </c>
      <c r="G19" s="143">
        <f>SUM(G8:G18)</f>
        <v>11</v>
      </c>
      <c r="H19" s="143">
        <v>0</v>
      </c>
      <c r="I19" s="143"/>
      <c r="J19" s="143"/>
      <c r="K19" s="143">
        <f>SUM(K8:K18)</f>
        <v>497.5</v>
      </c>
      <c r="L19" s="162">
        <v>9193.15</v>
      </c>
    </row>
    <row r="20" spans="1:12" s="87" customFormat="1" ht="15" customHeight="1">
      <c r="A20" s="381" t="s">
        <v>79</v>
      </c>
      <c r="B20" s="381"/>
      <c r="C20" s="48"/>
      <c r="D20" s="48"/>
      <c r="E20" s="48"/>
      <c r="F20" s="48"/>
      <c r="G20" s="48"/>
      <c r="H20" s="48"/>
      <c r="I20" s="48"/>
      <c r="J20" s="48"/>
      <c r="K20" s="48"/>
      <c r="L20" s="48"/>
    </row>
    <row r="21" spans="1:12" ht="38.25" customHeight="1">
      <c r="A21" s="52" t="s">
        <v>5</v>
      </c>
      <c r="B21" s="52" t="s">
        <v>1</v>
      </c>
      <c r="C21" s="52" t="s">
        <v>3</v>
      </c>
      <c r="D21" s="52" t="s">
        <v>120</v>
      </c>
      <c r="E21" s="52" t="s">
        <v>90</v>
      </c>
      <c r="F21" s="52" t="s">
        <v>91</v>
      </c>
      <c r="G21" s="52" t="s">
        <v>140</v>
      </c>
      <c r="H21" s="52" t="s">
        <v>127</v>
      </c>
      <c r="I21" s="52" t="s">
        <v>159</v>
      </c>
      <c r="J21" s="52" t="s">
        <v>119</v>
      </c>
      <c r="K21" s="52" t="s">
        <v>175</v>
      </c>
      <c r="L21" s="52" t="s">
        <v>185</v>
      </c>
    </row>
    <row r="22" spans="1:12" s="87" customFormat="1" ht="15" customHeight="1">
      <c r="A22" s="374" t="s">
        <v>95</v>
      </c>
      <c r="B22" s="374"/>
      <c r="C22" s="143"/>
      <c r="D22" s="143">
        <v>0</v>
      </c>
      <c r="E22" s="143">
        <v>0</v>
      </c>
      <c r="F22" s="143">
        <v>0</v>
      </c>
      <c r="G22" s="143">
        <v>0</v>
      </c>
      <c r="H22" s="143">
        <v>0</v>
      </c>
      <c r="I22" s="143"/>
      <c r="J22" s="143"/>
      <c r="K22" s="143">
        <v>0</v>
      </c>
      <c r="L22" s="162">
        <v>0</v>
      </c>
    </row>
    <row r="23" spans="1:12" s="87" customFormat="1" ht="15" customHeight="1">
      <c r="A23" s="381" t="s">
        <v>80</v>
      </c>
      <c r="B23" s="381"/>
      <c r="C23" s="48"/>
      <c r="D23" s="48"/>
      <c r="E23" s="48"/>
      <c r="F23" s="48"/>
      <c r="G23" s="48"/>
      <c r="H23" s="48"/>
      <c r="I23" s="48"/>
      <c r="J23" s="48"/>
      <c r="K23" s="48"/>
      <c r="L23" s="48"/>
    </row>
    <row r="24" spans="1:12" ht="38.25" customHeight="1">
      <c r="A24" s="52" t="s">
        <v>5</v>
      </c>
      <c r="B24" s="52" t="s">
        <v>1</v>
      </c>
      <c r="C24" s="52" t="s">
        <v>3</v>
      </c>
      <c r="D24" s="52" t="s">
        <v>120</v>
      </c>
      <c r="E24" s="52" t="s">
        <v>90</v>
      </c>
      <c r="F24" s="52" t="s">
        <v>91</v>
      </c>
      <c r="G24" s="52" t="s">
        <v>140</v>
      </c>
      <c r="H24" s="52" t="s">
        <v>127</v>
      </c>
      <c r="I24" s="52" t="s">
        <v>159</v>
      </c>
      <c r="J24" s="52" t="s">
        <v>119</v>
      </c>
      <c r="K24" s="52" t="s">
        <v>175</v>
      </c>
      <c r="L24" s="52" t="s">
        <v>185</v>
      </c>
    </row>
    <row r="25" spans="1:12" s="87" customFormat="1" ht="15" customHeight="1">
      <c r="A25" s="374" t="s">
        <v>96</v>
      </c>
      <c r="B25" s="374"/>
      <c r="C25" s="143"/>
      <c r="D25" s="143">
        <v>0</v>
      </c>
      <c r="E25" s="143">
        <v>0</v>
      </c>
      <c r="F25" s="143">
        <v>0</v>
      </c>
      <c r="G25" s="143">
        <v>0</v>
      </c>
      <c r="H25" s="143">
        <v>0</v>
      </c>
      <c r="I25" s="143"/>
      <c r="J25" s="143"/>
      <c r="K25" s="143">
        <v>0</v>
      </c>
      <c r="L25" s="162">
        <v>0</v>
      </c>
    </row>
    <row r="26" spans="1:12" s="87" customFormat="1" ht="15" customHeight="1">
      <c r="A26" s="381" t="s">
        <v>81</v>
      </c>
      <c r="B26" s="381"/>
      <c r="C26" s="48"/>
      <c r="D26" s="48"/>
      <c r="E26" s="48"/>
      <c r="F26" s="48"/>
      <c r="G26" s="48"/>
      <c r="H26" s="48"/>
      <c r="I26" s="48"/>
      <c r="J26" s="48"/>
      <c r="K26" s="48"/>
      <c r="L26" s="48"/>
    </row>
    <row r="27" spans="1:12" ht="38.25" customHeight="1">
      <c r="A27" s="52" t="s">
        <v>5</v>
      </c>
      <c r="B27" s="52" t="s">
        <v>1</v>
      </c>
      <c r="C27" s="52" t="s">
        <v>3</v>
      </c>
      <c r="D27" s="52" t="s">
        <v>120</v>
      </c>
      <c r="E27" s="52" t="s">
        <v>90</v>
      </c>
      <c r="F27" s="52" t="s">
        <v>91</v>
      </c>
      <c r="G27" s="52" t="s">
        <v>140</v>
      </c>
      <c r="H27" s="52" t="s">
        <v>127</v>
      </c>
      <c r="I27" s="52" t="s">
        <v>159</v>
      </c>
      <c r="J27" s="52" t="s">
        <v>119</v>
      </c>
      <c r="K27" s="52" t="s">
        <v>175</v>
      </c>
      <c r="L27" s="52" t="s">
        <v>185</v>
      </c>
    </row>
    <row r="28" spans="1:12" s="87" customFormat="1" ht="15" customHeight="1">
      <c r="A28" s="374" t="s">
        <v>97</v>
      </c>
      <c r="B28" s="374"/>
      <c r="C28" s="143"/>
      <c r="D28" s="143">
        <v>0</v>
      </c>
      <c r="E28" s="143">
        <v>0</v>
      </c>
      <c r="F28" s="143">
        <v>0</v>
      </c>
      <c r="G28" s="143">
        <v>0</v>
      </c>
      <c r="H28" s="143">
        <v>0</v>
      </c>
      <c r="I28" s="143"/>
      <c r="J28" s="143"/>
      <c r="K28" s="143">
        <v>0</v>
      </c>
      <c r="L28" s="162">
        <v>0</v>
      </c>
    </row>
    <row r="29" spans="1:12" s="87" customFormat="1" ht="15" customHeight="1">
      <c r="A29" s="381" t="s">
        <v>82</v>
      </c>
      <c r="B29" s="381"/>
      <c r="C29" s="48"/>
      <c r="D29" s="48"/>
      <c r="E29" s="48"/>
      <c r="F29" s="48"/>
      <c r="G29" s="48"/>
      <c r="H29" s="48"/>
      <c r="I29" s="48"/>
      <c r="J29" s="48"/>
      <c r="K29" s="48"/>
      <c r="L29" s="48"/>
    </row>
    <row r="30" spans="1:12" ht="38.25" customHeight="1">
      <c r="A30" s="52" t="s">
        <v>5</v>
      </c>
      <c r="B30" s="52" t="s">
        <v>1</v>
      </c>
      <c r="C30" s="52" t="s">
        <v>3</v>
      </c>
      <c r="D30" s="52" t="s">
        <v>120</v>
      </c>
      <c r="E30" s="52" t="s">
        <v>90</v>
      </c>
      <c r="F30" s="52" t="s">
        <v>91</v>
      </c>
      <c r="G30" s="52" t="s">
        <v>140</v>
      </c>
      <c r="H30" s="52" t="s">
        <v>127</v>
      </c>
      <c r="I30" s="52" t="s">
        <v>159</v>
      </c>
      <c r="J30" s="52" t="s">
        <v>119</v>
      </c>
      <c r="K30" s="52" t="s">
        <v>175</v>
      </c>
      <c r="L30" s="52" t="s">
        <v>185</v>
      </c>
    </row>
    <row r="31" spans="1:12" s="87" customFormat="1" ht="15" customHeight="1">
      <c r="A31" s="374" t="s">
        <v>146</v>
      </c>
      <c r="B31" s="374"/>
      <c r="C31" s="143"/>
      <c r="D31" s="143">
        <v>0</v>
      </c>
      <c r="E31" s="143">
        <v>0</v>
      </c>
      <c r="F31" s="143">
        <v>0</v>
      </c>
      <c r="G31" s="143">
        <v>0</v>
      </c>
      <c r="H31" s="143">
        <v>0</v>
      </c>
      <c r="I31" s="143"/>
      <c r="J31" s="143"/>
      <c r="K31" s="143">
        <v>0</v>
      </c>
      <c r="L31" s="162">
        <v>0</v>
      </c>
    </row>
    <row r="32" spans="1:12" s="87" customFormat="1" ht="15" customHeight="1">
      <c r="A32" s="381" t="s">
        <v>83</v>
      </c>
      <c r="B32" s="381"/>
      <c r="C32" s="48"/>
      <c r="D32" s="48"/>
      <c r="E32" s="48"/>
      <c r="F32" s="48"/>
      <c r="G32" s="48"/>
      <c r="H32" s="48"/>
      <c r="I32" s="48"/>
      <c r="J32" s="48"/>
      <c r="K32" s="48"/>
      <c r="L32" s="48"/>
    </row>
    <row r="33" spans="1:12" ht="38.25" customHeight="1">
      <c r="A33" s="52" t="s">
        <v>5</v>
      </c>
      <c r="B33" s="52" t="s">
        <v>1</v>
      </c>
      <c r="C33" s="52" t="s">
        <v>3</v>
      </c>
      <c r="D33" s="52" t="s">
        <v>120</v>
      </c>
      <c r="E33" s="52" t="s">
        <v>90</v>
      </c>
      <c r="F33" s="52" t="s">
        <v>91</v>
      </c>
      <c r="G33" s="52" t="s">
        <v>140</v>
      </c>
      <c r="H33" s="52" t="s">
        <v>127</v>
      </c>
      <c r="I33" s="52" t="s">
        <v>159</v>
      </c>
      <c r="J33" s="52" t="s">
        <v>119</v>
      </c>
      <c r="K33" s="52" t="s">
        <v>175</v>
      </c>
      <c r="L33" s="52" t="s">
        <v>185</v>
      </c>
    </row>
    <row r="34" spans="1:12" s="87" customFormat="1" ht="15" customHeight="1">
      <c r="A34" s="374" t="s">
        <v>98</v>
      </c>
      <c r="B34" s="374"/>
      <c r="C34" s="143"/>
      <c r="D34" s="143">
        <v>0</v>
      </c>
      <c r="E34" s="143">
        <v>0</v>
      </c>
      <c r="F34" s="143">
        <v>0</v>
      </c>
      <c r="G34" s="143">
        <v>0</v>
      </c>
      <c r="H34" s="143">
        <v>0</v>
      </c>
      <c r="I34" s="143"/>
      <c r="J34" s="143"/>
      <c r="K34" s="84"/>
      <c r="L34" s="162">
        <v>0</v>
      </c>
    </row>
    <row r="35" spans="1:12" s="87" customFormat="1" ht="15" customHeight="1">
      <c r="A35" s="381" t="s">
        <v>84</v>
      </c>
      <c r="B35" s="381"/>
      <c r="C35" s="48"/>
      <c r="D35" s="48"/>
      <c r="E35" s="48"/>
      <c r="F35" s="48"/>
      <c r="G35" s="48"/>
      <c r="H35" s="48"/>
      <c r="I35" s="48"/>
      <c r="J35" s="48"/>
      <c r="K35" s="48"/>
      <c r="L35" s="48"/>
    </row>
    <row r="36" spans="1:12" ht="38.25" customHeight="1">
      <c r="A36" s="52" t="s">
        <v>5</v>
      </c>
      <c r="B36" s="52" t="s">
        <v>1</v>
      </c>
      <c r="C36" s="52" t="s">
        <v>3</v>
      </c>
      <c r="D36" s="52" t="s">
        <v>120</v>
      </c>
      <c r="E36" s="52" t="s">
        <v>90</v>
      </c>
      <c r="F36" s="52" t="s">
        <v>91</v>
      </c>
      <c r="G36" s="52" t="s">
        <v>140</v>
      </c>
      <c r="H36" s="52" t="s">
        <v>127</v>
      </c>
      <c r="I36" s="52" t="s">
        <v>159</v>
      </c>
      <c r="J36" s="52" t="s">
        <v>119</v>
      </c>
      <c r="K36" s="52" t="s">
        <v>175</v>
      </c>
      <c r="L36" s="52" t="s">
        <v>185</v>
      </c>
    </row>
    <row r="37" spans="1:12" s="87" customFormat="1" ht="15" customHeight="1">
      <c r="A37" s="374" t="s">
        <v>99</v>
      </c>
      <c r="B37" s="374"/>
      <c r="C37" s="143"/>
      <c r="D37" s="143">
        <v>0</v>
      </c>
      <c r="E37" s="143">
        <v>0</v>
      </c>
      <c r="F37" s="143">
        <v>0</v>
      </c>
      <c r="G37" s="143">
        <v>0</v>
      </c>
      <c r="H37" s="143">
        <v>0</v>
      </c>
      <c r="I37" s="143"/>
      <c r="J37" s="143"/>
      <c r="K37" s="143">
        <v>0</v>
      </c>
      <c r="L37" s="162">
        <v>0</v>
      </c>
    </row>
    <row r="38" spans="1:12" s="87" customFormat="1" ht="15" customHeight="1">
      <c r="A38" s="381" t="s">
        <v>85</v>
      </c>
      <c r="B38" s="381"/>
      <c r="C38" s="48"/>
      <c r="D38" s="48"/>
      <c r="E38" s="48"/>
      <c r="F38" s="48"/>
      <c r="G38" s="48"/>
      <c r="H38" s="48"/>
      <c r="I38" s="48"/>
      <c r="J38" s="48"/>
      <c r="K38" s="48"/>
      <c r="L38" s="48"/>
    </row>
    <row r="39" spans="1:12" ht="38.25" customHeight="1">
      <c r="A39" s="52" t="s">
        <v>5</v>
      </c>
      <c r="B39" s="52" t="s">
        <v>1</v>
      </c>
      <c r="C39" s="52" t="s">
        <v>3</v>
      </c>
      <c r="D39" s="52" t="s">
        <v>120</v>
      </c>
      <c r="E39" s="52" t="s">
        <v>90</v>
      </c>
      <c r="F39" s="52" t="s">
        <v>91</v>
      </c>
      <c r="G39" s="52" t="s">
        <v>140</v>
      </c>
      <c r="H39" s="52" t="s">
        <v>127</v>
      </c>
      <c r="I39" s="52" t="s">
        <v>159</v>
      </c>
      <c r="J39" s="52" t="s">
        <v>119</v>
      </c>
      <c r="K39" s="52" t="s">
        <v>175</v>
      </c>
      <c r="L39" s="52" t="s">
        <v>185</v>
      </c>
    </row>
    <row r="40" spans="1:12" s="87" customFormat="1" ht="15" customHeight="1">
      <c r="A40" s="374" t="s">
        <v>100</v>
      </c>
      <c r="B40" s="374"/>
      <c r="C40" s="143"/>
      <c r="D40" s="143">
        <v>0</v>
      </c>
      <c r="E40" s="143">
        <v>0</v>
      </c>
      <c r="F40" s="143">
        <v>0</v>
      </c>
      <c r="G40" s="143">
        <v>0</v>
      </c>
      <c r="H40" s="143">
        <v>0</v>
      </c>
      <c r="I40" s="143"/>
      <c r="J40" s="143"/>
      <c r="K40" s="143">
        <v>0</v>
      </c>
      <c r="L40" s="162">
        <v>0</v>
      </c>
    </row>
    <row r="41" spans="1:30" s="86" customFormat="1" ht="15" customHeight="1">
      <c r="A41" s="309" t="s">
        <v>112</v>
      </c>
      <c r="B41" s="309"/>
      <c r="C41" s="71"/>
      <c r="D41" s="123">
        <f>D5+D19+D22+D25+D28+D31+D34+D37+D40</f>
        <v>11</v>
      </c>
      <c r="E41" s="123">
        <f>E5+E19+E22+E25+E28+E31+E34+E37+E40</f>
        <v>4</v>
      </c>
      <c r="F41" s="123">
        <f>F5+F19+F22+F25+F28+F31+F34+F37+F40</f>
        <v>7</v>
      </c>
      <c r="G41" s="123">
        <f>G5+G19+G22+G25+G28+G31+G34+G37+G40</f>
        <v>11</v>
      </c>
      <c r="H41" s="123">
        <f>H5+H19+H22+H25+H28+H31+H34+H37+H40</f>
        <v>0</v>
      </c>
      <c r="I41" s="123"/>
      <c r="J41" s="123"/>
      <c r="K41" s="123">
        <f>K5+K19+K22+K25+K28+K31+K34+K37+K40</f>
        <v>497.5</v>
      </c>
      <c r="L41" s="125">
        <f>L5+L19+L22+L25+L28+L31+L34+L37+L40</f>
        <v>9193.15</v>
      </c>
      <c r="M41" s="159"/>
      <c r="N41" s="159"/>
      <c r="O41" s="159"/>
      <c r="P41" s="159"/>
      <c r="Q41" s="159"/>
      <c r="R41" s="159"/>
      <c r="S41" s="159"/>
      <c r="T41" s="159"/>
      <c r="U41" s="159"/>
      <c r="V41" s="159"/>
      <c r="W41" s="159"/>
      <c r="X41" s="159"/>
      <c r="Y41" s="159"/>
      <c r="Z41" s="159"/>
      <c r="AA41" s="159"/>
      <c r="AB41" s="159"/>
      <c r="AC41" s="159"/>
      <c r="AD41" s="159"/>
    </row>
    <row r="43" spans="1:6" ht="12.75">
      <c r="A43" s="44" t="s">
        <v>45</v>
      </c>
      <c r="E43" s="126"/>
      <c r="F43" s="126"/>
    </row>
  </sheetData>
  <mergeCells count="20">
    <mergeCell ref="A1:K1"/>
    <mergeCell ref="A2:L2"/>
    <mergeCell ref="A38:B38"/>
    <mergeCell ref="A40:B40"/>
    <mergeCell ref="A35:B35"/>
    <mergeCell ref="A37:B37"/>
    <mergeCell ref="A26:B26"/>
    <mergeCell ref="A28:B28"/>
    <mergeCell ref="A29:B29"/>
    <mergeCell ref="A31:B31"/>
    <mergeCell ref="A41:B41"/>
    <mergeCell ref="A3:B3"/>
    <mergeCell ref="A5:B5"/>
    <mergeCell ref="A6:B6"/>
    <mergeCell ref="A20:B20"/>
    <mergeCell ref="A22:B22"/>
    <mergeCell ref="A23:B23"/>
    <mergeCell ref="A25:B25"/>
    <mergeCell ref="A32:B32"/>
    <mergeCell ref="A34:B34"/>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codeName="Foglio8">
    <tabColor indexed="57"/>
  </sheetPr>
  <dimension ref="A1:O284"/>
  <sheetViews>
    <sheetView workbookViewId="0" topLeftCell="A1">
      <selection activeCell="M4" sqref="M4"/>
    </sheetView>
  </sheetViews>
  <sheetFormatPr defaultColWidth="9.140625" defaultRowHeight="12.75"/>
  <cols>
    <col min="1" max="1" width="20.7109375" style="44" customWidth="1"/>
    <col min="2" max="2" width="28.57421875" style="44" customWidth="1"/>
    <col min="3" max="3" width="20.7109375" style="80" customWidth="1"/>
    <col min="4" max="4" width="16.8515625" style="44" customWidth="1"/>
    <col min="5" max="5" width="6.7109375" style="44" customWidth="1"/>
    <col min="6" max="7" width="5.7109375" style="44" customWidth="1"/>
    <col min="8" max="9" width="9.7109375" style="44" customWidth="1"/>
    <col min="10" max="10" width="13.7109375" style="44" customWidth="1"/>
    <col min="11" max="11" width="10.140625" style="44" customWidth="1"/>
    <col min="12" max="12" width="15.7109375" style="44" customWidth="1"/>
    <col min="13" max="13" width="18.00390625" style="126" customWidth="1"/>
    <col min="14" max="14" width="12.8515625" style="56" customWidth="1"/>
    <col min="15" max="15" width="11.7109375" style="44" customWidth="1"/>
    <col min="16" max="16" width="12.140625" style="44" customWidth="1"/>
    <col min="17" max="18" width="11.8515625" style="44" customWidth="1"/>
    <col min="19" max="19" width="10.00390625" style="44" customWidth="1"/>
    <col min="20" max="16384" width="9.140625" style="44" customWidth="1"/>
  </cols>
  <sheetData>
    <row r="1" spans="1:14" ht="30" customHeight="1">
      <c r="A1" s="314" t="s">
        <v>17</v>
      </c>
      <c r="B1" s="315"/>
      <c r="C1" s="315"/>
      <c r="D1" s="315"/>
      <c r="E1" s="315"/>
      <c r="F1" s="315"/>
      <c r="G1" s="315"/>
      <c r="H1" s="315"/>
      <c r="I1" s="315"/>
      <c r="J1" s="315"/>
      <c r="K1" s="315"/>
      <c r="L1" s="315"/>
      <c r="M1" s="391"/>
      <c r="N1" s="170"/>
    </row>
    <row r="2" spans="1:13" ht="90" customHeight="1">
      <c r="A2" s="377" t="s">
        <v>59</v>
      </c>
      <c r="B2" s="377"/>
      <c r="C2" s="377"/>
      <c r="D2" s="377"/>
      <c r="E2" s="377"/>
      <c r="F2" s="377"/>
      <c r="G2" s="377"/>
      <c r="H2" s="377"/>
      <c r="I2" s="377"/>
      <c r="J2" s="377"/>
      <c r="K2" s="377"/>
      <c r="L2" s="377"/>
      <c r="M2" s="377"/>
    </row>
    <row r="3" spans="1:14" s="87" customFormat="1" ht="15" customHeight="1">
      <c r="A3" s="381" t="s">
        <v>14</v>
      </c>
      <c r="B3" s="381"/>
      <c r="C3" s="48"/>
      <c r="D3" s="48"/>
      <c r="E3" s="48"/>
      <c r="F3" s="48"/>
      <c r="G3" s="48"/>
      <c r="H3" s="48"/>
      <c r="I3" s="48"/>
      <c r="J3" s="48"/>
      <c r="K3" s="48"/>
      <c r="L3" s="171"/>
      <c r="M3" s="50"/>
      <c r="N3" s="133"/>
    </row>
    <row r="4" spans="1:14" s="173" customFormat="1" ht="30" customHeight="1">
      <c r="A4" s="52" t="s">
        <v>5</v>
      </c>
      <c r="B4" s="52" t="s">
        <v>1</v>
      </c>
      <c r="C4" s="52" t="s">
        <v>3</v>
      </c>
      <c r="D4" s="52" t="s">
        <v>12</v>
      </c>
      <c r="E4" s="52" t="s">
        <v>120</v>
      </c>
      <c r="F4" s="52" t="s">
        <v>90</v>
      </c>
      <c r="G4" s="52" t="s">
        <v>91</v>
      </c>
      <c r="H4" s="52" t="s">
        <v>140</v>
      </c>
      <c r="I4" s="52" t="s">
        <v>127</v>
      </c>
      <c r="J4" s="52" t="s">
        <v>159</v>
      </c>
      <c r="K4" s="52" t="s">
        <v>119</v>
      </c>
      <c r="L4" s="52" t="s">
        <v>125</v>
      </c>
      <c r="M4" s="52" t="s">
        <v>195</v>
      </c>
      <c r="N4" s="172"/>
    </row>
    <row r="5" spans="1:13" ht="15">
      <c r="A5" s="357"/>
      <c r="B5" s="358"/>
      <c r="C5" s="359"/>
      <c r="D5" s="147" t="s">
        <v>150</v>
      </c>
      <c r="E5" s="147">
        <v>1</v>
      </c>
      <c r="F5" s="147"/>
      <c r="G5" s="147">
        <v>1</v>
      </c>
      <c r="H5" s="147">
        <v>1</v>
      </c>
      <c r="I5" s="64"/>
      <c r="J5" s="64"/>
      <c r="K5" s="139">
        <v>1953</v>
      </c>
      <c r="L5" s="147">
        <v>109</v>
      </c>
      <c r="M5" s="174"/>
    </row>
    <row r="6" spans="1:13" s="133" customFormat="1" ht="15" customHeight="1">
      <c r="A6" s="374" t="s">
        <v>93</v>
      </c>
      <c r="B6" s="374"/>
      <c r="C6" s="84"/>
      <c r="D6" s="143">
        <f>SUM(D2:D5)</f>
        <v>0</v>
      </c>
      <c r="E6" s="143">
        <f>SUM(E2:E5)</f>
        <v>1</v>
      </c>
      <c r="F6" s="143">
        <f>SUM(F2:F5)</f>
        <v>0</v>
      </c>
      <c r="G6" s="143">
        <f>SUM(G2:G5)</f>
        <v>1</v>
      </c>
      <c r="H6" s="143">
        <v>1</v>
      </c>
      <c r="I6" s="143">
        <v>0</v>
      </c>
      <c r="J6" s="143"/>
      <c r="K6" s="143"/>
      <c r="L6" s="143">
        <f>SUM(L5)</f>
        <v>109</v>
      </c>
      <c r="M6" s="253">
        <f>M63/L63*L6</f>
        <v>5222.854141622067</v>
      </c>
    </row>
    <row r="7" spans="1:14" s="87" customFormat="1" ht="15" customHeight="1">
      <c r="A7" s="381" t="s">
        <v>79</v>
      </c>
      <c r="B7" s="381"/>
      <c r="C7" s="48"/>
      <c r="D7" s="48"/>
      <c r="E7" s="48"/>
      <c r="F7" s="48"/>
      <c r="G7" s="48"/>
      <c r="H7" s="48"/>
      <c r="I7" s="48"/>
      <c r="J7" s="48"/>
      <c r="K7" s="48"/>
      <c r="L7" s="171"/>
      <c r="M7" s="171"/>
      <c r="N7" s="133"/>
    </row>
    <row r="8" spans="1:14" s="173" customFormat="1" ht="30" customHeight="1">
      <c r="A8" s="52" t="s">
        <v>5</v>
      </c>
      <c r="B8" s="52" t="s">
        <v>1</v>
      </c>
      <c r="C8" s="52" t="s">
        <v>3</v>
      </c>
      <c r="D8" s="52" t="s">
        <v>12</v>
      </c>
      <c r="E8" s="52" t="s">
        <v>120</v>
      </c>
      <c r="F8" s="52" t="s">
        <v>90</v>
      </c>
      <c r="G8" s="52" t="s">
        <v>91</v>
      </c>
      <c r="H8" s="52" t="s">
        <v>140</v>
      </c>
      <c r="I8" s="52" t="s">
        <v>127</v>
      </c>
      <c r="J8" s="52" t="s">
        <v>159</v>
      </c>
      <c r="K8" s="52" t="s">
        <v>119</v>
      </c>
      <c r="L8" s="52" t="s">
        <v>125</v>
      </c>
      <c r="M8" s="52" t="s">
        <v>195</v>
      </c>
      <c r="N8" s="172"/>
    </row>
    <row r="9" spans="1:13" s="133" customFormat="1" ht="15" customHeight="1">
      <c r="A9" s="374" t="s">
        <v>95</v>
      </c>
      <c r="B9" s="374"/>
      <c r="C9" s="84"/>
      <c r="D9" s="143">
        <f>SUM(D6:D8)</f>
        <v>0</v>
      </c>
      <c r="E9" s="143">
        <v>0</v>
      </c>
      <c r="F9" s="143">
        <f>SUM(F6:F8)</f>
        <v>0</v>
      </c>
      <c r="G9" s="143">
        <v>0</v>
      </c>
      <c r="H9" s="143">
        <v>0</v>
      </c>
      <c r="I9" s="143">
        <v>0</v>
      </c>
      <c r="J9" s="143"/>
      <c r="K9" s="143"/>
      <c r="L9" s="143">
        <v>0</v>
      </c>
      <c r="M9" s="162">
        <v>0</v>
      </c>
    </row>
    <row r="10" spans="1:14" s="87" customFormat="1" ht="15" customHeight="1">
      <c r="A10" s="381" t="s">
        <v>80</v>
      </c>
      <c r="B10" s="381"/>
      <c r="C10" s="48"/>
      <c r="D10" s="48"/>
      <c r="E10" s="48"/>
      <c r="F10" s="48"/>
      <c r="G10" s="48"/>
      <c r="H10" s="48"/>
      <c r="I10" s="48"/>
      <c r="J10" s="48"/>
      <c r="K10" s="48"/>
      <c r="L10" s="171"/>
      <c r="M10" s="171"/>
      <c r="N10" s="133"/>
    </row>
    <row r="11" spans="1:14" s="173" customFormat="1" ht="30" customHeight="1">
      <c r="A11" s="52" t="s">
        <v>5</v>
      </c>
      <c r="B11" s="52" t="s">
        <v>1</v>
      </c>
      <c r="C11" s="52" t="s">
        <v>3</v>
      </c>
      <c r="D11" s="52" t="s">
        <v>12</v>
      </c>
      <c r="E11" s="52" t="s">
        <v>120</v>
      </c>
      <c r="F11" s="52" t="s">
        <v>90</v>
      </c>
      <c r="G11" s="52" t="s">
        <v>91</v>
      </c>
      <c r="H11" s="52" t="s">
        <v>140</v>
      </c>
      <c r="I11" s="52" t="s">
        <v>127</v>
      </c>
      <c r="J11" s="52" t="s">
        <v>159</v>
      </c>
      <c r="K11" s="52" t="s">
        <v>119</v>
      </c>
      <c r="L11" s="52" t="s">
        <v>125</v>
      </c>
      <c r="M11" s="52" t="s">
        <v>195</v>
      </c>
      <c r="N11" s="172"/>
    </row>
    <row r="12" spans="1:13" s="172" customFormat="1" ht="15" customHeight="1">
      <c r="A12" s="357"/>
      <c r="B12" s="358"/>
      <c r="C12" s="359"/>
      <c r="D12" s="147" t="s">
        <v>150</v>
      </c>
      <c r="E12" s="147">
        <v>1</v>
      </c>
      <c r="F12" s="147"/>
      <c r="G12" s="147">
        <v>1</v>
      </c>
      <c r="H12" s="147">
        <v>1</v>
      </c>
      <c r="I12" s="64"/>
      <c r="J12" s="64"/>
      <c r="K12" s="139">
        <v>1921</v>
      </c>
      <c r="L12" s="147">
        <v>19</v>
      </c>
      <c r="M12" s="53"/>
    </row>
    <row r="13" spans="1:13" s="172" customFormat="1" ht="15" customHeight="1">
      <c r="A13" s="357"/>
      <c r="B13" s="358"/>
      <c r="C13" s="359"/>
      <c r="D13" s="147" t="s">
        <v>150</v>
      </c>
      <c r="E13" s="147">
        <v>1</v>
      </c>
      <c r="F13" s="147"/>
      <c r="G13" s="147">
        <v>1</v>
      </c>
      <c r="H13" s="147">
        <v>1</v>
      </c>
      <c r="I13" s="64"/>
      <c r="J13" s="64"/>
      <c r="K13" s="139">
        <v>1917</v>
      </c>
      <c r="L13" s="147">
        <v>62</v>
      </c>
      <c r="M13" s="53"/>
    </row>
    <row r="14" spans="1:13" s="172" customFormat="1" ht="15" customHeight="1">
      <c r="A14" s="357"/>
      <c r="B14" s="358"/>
      <c r="C14" s="359"/>
      <c r="D14" s="147" t="s">
        <v>150</v>
      </c>
      <c r="E14" s="147">
        <v>1</v>
      </c>
      <c r="F14" s="147"/>
      <c r="G14" s="147">
        <v>1</v>
      </c>
      <c r="H14" s="147">
        <v>1</v>
      </c>
      <c r="I14" s="64"/>
      <c r="J14" s="64"/>
      <c r="K14" s="139">
        <v>1928</v>
      </c>
      <c r="L14" s="147">
        <v>30</v>
      </c>
      <c r="M14" s="53"/>
    </row>
    <row r="15" spans="1:13" ht="15" customHeight="1">
      <c r="A15" s="357"/>
      <c r="B15" s="358"/>
      <c r="C15" s="359"/>
      <c r="D15" s="147" t="s">
        <v>150</v>
      </c>
      <c r="E15" s="147">
        <v>1</v>
      </c>
      <c r="F15" s="147"/>
      <c r="G15" s="147">
        <v>1</v>
      </c>
      <c r="H15" s="147">
        <v>1</v>
      </c>
      <c r="I15" s="64"/>
      <c r="J15" s="64"/>
      <c r="K15" s="139">
        <v>1930</v>
      </c>
      <c r="L15" s="147">
        <v>78</v>
      </c>
      <c r="M15" s="174"/>
    </row>
    <row r="16" spans="1:13" ht="15">
      <c r="A16" s="357"/>
      <c r="B16" s="358"/>
      <c r="C16" s="359"/>
      <c r="D16" s="147" t="s">
        <v>150</v>
      </c>
      <c r="E16" s="147">
        <v>1</v>
      </c>
      <c r="F16" s="147">
        <v>1</v>
      </c>
      <c r="G16" s="147"/>
      <c r="H16" s="147">
        <v>1</v>
      </c>
      <c r="I16" s="64"/>
      <c r="J16" s="64"/>
      <c r="K16" s="139">
        <v>1926</v>
      </c>
      <c r="L16" s="147">
        <v>83</v>
      </c>
      <c r="M16" s="174"/>
    </row>
    <row r="17" spans="1:13" ht="15">
      <c r="A17" s="357"/>
      <c r="B17" s="358"/>
      <c r="C17" s="359"/>
      <c r="D17" s="147" t="s">
        <v>150</v>
      </c>
      <c r="E17" s="147">
        <v>1</v>
      </c>
      <c r="F17" s="147"/>
      <c r="G17" s="147">
        <v>1</v>
      </c>
      <c r="H17" s="147">
        <v>1</v>
      </c>
      <c r="I17" s="64"/>
      <c r="J17" s="64"/>
      <c r="K17" s="139">
        <v>1930</v>
      </c>
      <c r="L17" s="147">
        <v>10</v>
      </c>
      <c r="M17" s="174"/>
    </row>
    <row r="18" spans="1:13" ht="15">
      <c r="A18" s="357"/>
      <c r="B18" s="358"/>
      <c r="C18" s="359"/>
      <c r="D18" s="147" t="s">
        <v>150</v>
      </c>
      <c r="E18" s="147">
        <v>1</v>
      </c>
      <c r="F18" s="147"/>
      <c r="G18" s="147">
        <v>1</v>
      </c>
      <c r="H18" s="147">
        <v>1</v>
      </c>
      <c r="I18" s="64"/>
      <c r="J18" s="64"/>
      <c r="K18" s="139">
        <v>1934</v>
      </c>
      <c r="L18" s="147">
        <v>212</v>
      </c>
      <c r="M18" s="174"/>
    </row>
    <row r="19" spans="1:13" ht="15">
      <c r="A19" s="357"/>
      <c r="B19" s="358"/>
      <c r="C19" s="359"/>
      <c r="D19" s="147" t="s">
        <v>150</v>
      </c>
      <c r="E19" s="147">
        <v>1</v>
      </c>
      <c r="F19" s="147"/>
      <c r="G19" s="147">
        <v>1</v>
      </c>
      <c r="H19" s="147">
        <v>1</v>
      </c>
      <c r="I19" s="64"/>
      <c r="J19" s="64"/>
      <c r="K19" s="139">
        <v>1956</v>
      </c>
      <c r="L19" s="147">
        <v>14</v>
      </c>
      <c r="M19" s="174"/>
    </row>
    <row r="20" spans="1:13" ht="15">
      <c r="A20" s="357"/>
      <c r="B20" s="358"/>
      <c r="C20" s="359"/>
      <c r="D20" s="147" t="s">
        <v>150</v>
      </c>
      <c r="E20" s="147">
        <v>1</v>
      </c>
      <c r="F20" s="147">
        <v>1</v>
      </c>
      <c r="G20" s="147"/>
      <c r="H20" s="147">
        <v>1</v>
      </c>
      <c r="I20" s="64"/>
      <c r="J20" s="64"/>
      <c r="K20" s="139">
        <v>1948</v>
      </c>
      <c r="L20" s="147">
        <v>96</v>
      </c>
      <c r="M20" s="174"/>
    </row>
    <row r="21" spans="1:13" ht="15">
      <c r="A21" s="357"/>
      <c r="B21" s="358"/>
      <c r="C21" s="359"/>
      <c r="D21" s="147" t="s">
        <v>150</v>
      </c>
      <c r="E21" s="147">
        <v>1</v>
      </c>
      <c r="F21" s="147"/>
      <c r="G21" s="147">
        <v>1</v>
      </c>
      <c r="H21" s="147">
        <v>1</v>
      </c>
      <c r="I21" s="64"/>
      <c r="J21" s="64"/>
      <c r="K21" s="139">
        <v>1926</v>
      </c>
      <c r="L21" s="147">
        <v>155</v>
      </c>
      <c r="M21" s="174"/>
    </row>
    <row r="22" spans="1:13" ht="15">
      <c r="A22" s="357"/>
      <c r="B22" s="358"/>
      <c r="C22" s="359"/>
      <c r="D22" s="147" t="s">
        <v>150</v>
      </c>
      <c r="E22" s="147">
        <v>1</v>
      </c>
      <c r="F22" s="147"/>
      <c r="G22" s="147">
        <v>1</v>
      </c>
      <c r="H22" s="147">
        <v>1</v>
      </c>
      <c r="I22" s="64"/>
      <c r="J22" s="64"/>
      <c r="K22" s="139">
        <v>1924</v>
      </c>
      <c r="L22" s="147">
        <v>241</v>
      </c>
      <c r="M22" s="174"/>
    </row>
    <row r="23" spans="1:13" ht="15">
      <c r="A23" s="357"/>
      <c r="B23" s="358"/>
      <c r="C23" s="359"/>
      <c r="D23" s="147" t="s">
        <v>150</v>
      </c>
      <c r="E23" s="147">
        <v>1</v>
      </c>
      <c r="F23" s="147"/>
      <c r="G23" s="147">
        <v>1</v>
      </c>
      <c r="H23" s="147">
        <v>1</v>
      </c>
      <c r="I23" s="64"/>
      <c r="J23" s="64"/>
      <c r="K23" s="139">
        <v>1929</v>
      </c>
      <c r="L23" s="147">
        <v>166</v>
      </c>
      <c r="M23" s="174"/>
    </row>
    <row r="24" spans="1:13" ht="15">
      <c r="A24" s="357"/>
      <c r="B24" s="358"/>
      <c r="C24" s="359"/>
      <c r="D24" s="147" t="s">
        <v>150</v>
      </c>
      <c r="E24" s="147">
        <v>1</v>
      </c>
      <c r="F24" s="147">
        <v>1</v>
      </c>
      <c r="G24" s="147"/>
      <c r="H24" s="147">
        <v>1</v>
      </c>
      <c r="I24" s="64"/>
      <c r="J24" s="64"/>
      <c r="K24" s="139">
        <v>1952</v>
      </c>
      <c r="L24" s="147">
        <v>78</v>
      </c>
      <c r="M24" s="174"/>
    </row>
    <row r="25" spans="1:13" ht="15">
      <c r="A25" s="357"/>
      <c r="B25" s="358"/>
      <c r="C25" s="359"/>
      <c r="D25" s="147" t="s">
        <v>150</v>
      </c>
      <c r="E25" s="147">
        <v>1</v>
      </c>
      <c r="F25" s="147"/>
      <c r="G25" s="147">
        <v>1</v>
      </c>
      <c r="H25" s="147">
        <v>1</v>
      </c>
      <c r="I25" s="64"/>
      <c r="J25" s="64"/>
      <c r="K25" s="139">
        <v>1925</v>
      </c>
      <c r="L25" s="147">
        <v>158</v>
      </c>
      <c r="M25" s="174"/>
    </row>
    <row r="26" spans="1:13" ht="15">
      <c r="A26" s="357"/>
      <c r="B26" s="358"/>
      <c r="C26" s="359"/>
      <c r="D26" s="147" t="s">
        <v>150</v>
      </c>
      <c r="E26" s="147">
        <v>1</v>
      </c>
      <c r="F26" s="147"/>
      <c r="G26" s="147">
        <v>1</v>
      </c>
      <c r="H26" s="147">
        <v>1</v>
      </c>
      <c r="I26" s="64"/>
      <c r="J26" s="64"/>
      <c r="K26" s="139">
        <v>1919</v>
      </c>
      <c r="L26" s="147">
        <v>241</v>
      </c>
      <c r="M26" s="174"/>
    </row>
    <row r="27" spans="1:13" ht="15">
      <c r="A27" s="357"/>
      <c r="B27" s="358"/>
      <c r="C27" s="359"/>
      <c r="D27" s="147" t="s">
        <v>150</v>
      </c>
      <c r="E27" s="147">
        <v>1</v>
      </c>
      <c r="F27" s="147"/>
      <c r="G27" s="147">
        <v>1</v>
      </c>
      <c r="H27" s="147">
        <v>1</v>
      </c>
      <c r="I27" s="64"/>
      <c r="J27" s="64"/>
      <c r="K27" s="139">
        <v>1922</v>
      </c>
      <c r="L27" s="147">
        <v>7</v>
      </c>
      <c r="M27" s="174"/>
    </row>
    <row r="28" spans="1:13" ht="15">
      <c r="A28" s="357"/>
      <c r="B28" s="358"/>
      <c r="C28" s="359"/>
      <c r="D28" s="147" t="s">
        <v>150</v>
      </c>
      <c r="E28" s="147">
        <v>1</v>
      </c>
      <c r="F28" s="147"/>
      <c r="G28" s="147">
        <v>1</v>
      </c>
      <c r="H28" s="147">
        <v>1</v>
      </c>
      <c r="I28" s="64"/>
      <c r="J28" s="64"/>
      <c r="K28" s="139">
        <v>1919</v>
      </c>
      <c r="L28" s="147">
        <v>46</v>
      </c>
      <c r="M28" s="174"/>
    </row>
    <row r="29" spans="1:13" ht="15">
      <c r="A29" s="357"/>
      <c r="B29" s="358"/>
      <c r="C29" s="359"/>
      <c r="D29" s="147" t="s">
        <v>150</v>
      </c>
      <c r="E29" s="147">
        <v>1</v>
      </c>
      <c r="F29" s="147"/>
      <c r="G29" s="147">
        <v>1</v>
      </c>
      <c r="H29" s="147">
        <v>1</v>
      </c>
      <c r="I29" s="64"/>
      <c r="J29" s="64"/>
      <c r="K29" s="139">
        <v>1924</v>
      </c>
      <c r="L29" s="147">
        <v>15</v>
      </c>
      <c r="M29" s="174"/>
    </row>
    <row r="30" spans="1:13" ht="15">
      <c r="A30" s="357"/>
      <c r="B30" s="358"/>
      <c r="C30" s="359"/>
      <c r="D30" s="147" t="s">
        <v>150</v>
      </c>
      <c r="E30" s="147">
        <v>1</v>
      </c>
      <c r="F30" s="147"/>
      <c r="G30" s="147">
        <v>1</v>
      </c>
      <c r="H30" s="147">
        <v>1</v>
      </c>
      <c r="I30" s="64"/>
      <c r="J30" s="64"/>
      <c r="K30" s="139">
        <v>1941</v>
      </c>
      <c r="L30" s="147">
        <v>22</v>
      </c>
      <c r="M30" s="174"/>
    </row>
    <row r="31" spans="1:13" ht="15">
      <c r="A31" s="357"/>
      <c r="B31" s="358"/>
      <c r="C31" s="359"/>
      <c r="D31" s="147" t="s">
        <v>150</v>
      </c>
      <c r="E31" s="147">
        <v>1</v>
      </c>
      <c r="F31" s="147"/>
      <c r="G31" s="147">
        <v>1</v>
      </c>
      <c r="H31" s="147">
        <v>1</v>
      </c>
      <c r="I31" s="64"/>
      <c r="J31" s="64"/>
      <c r="K31" s="139">
        <v>1924</v>
      </c>
      <c r="L31" s="147">
        <v>49</v>
      </c>
      <c r="M31" s="174"/>
    </row>
    <row r="32" spans="1:13" ht="15">
      <c r="A32" s="357"/>
      <c r="B32" s="358"/>
      <c r="C32" s="359"/>
      <c r="D32" s="147" t="s">
        <v>150</v>
      </c>
      <c r="E32" s="147">
        <v>1</v>
      </c>
      <c r="F32" s="147"/>
      <c r="G32" s="147">
        <v>1</v>
      </c>
      <c r="H32" s="147">
        <v>1</v>
      </c>
      <c r="I32" s="64"/>
      <c r="J32" s="64"/>
      <c r="K32" s="139">
        <v>1931</v>
      </c>
      <c r="L32" s="147">
        <v>5</v>
      </c>
      <c r="M32" s="174"/>
    </row>
    <row r="33" spans="1:13" ht="15">
      <c r="A33" s="357"/>
      <c r="B33" s="358"/>
      <c r="C33" s="359"/>
      <c r="D33" s="147" t="s">
        <v>150</v>
      </c>
      <c r="E33" s="147">
        <v>1</v>
      </c>
      <c r="F33" s="147"/>
      <c r="G33" s="147">
        <v>1</v>
      </c>
      <c r="H33" s="147">
        <v>1</v>
      </c>
      <c r="I33" s="64"/>
      <c r="J33" s="64"/>
      <c r="K33" s="139">
        <v>1925</v>
      </c>
      <c r="L33" s="147">
        <v>238</v>
      </c>
      <c r="M33" s="174"/>
    </row>
    <row r="34" spans="1:13" ht="15">
      <c r="A34" s="357"/>
      <c r="B34" s="358"/>
      <c r="C34" s="359"/>
      <c r="D34" s="147" t="s">
        <v>150</v>
      </c>
      <c r="E34" s="147">
        <v>1</v>
      </c>
      <c r="F34" s="147"/>
      <c r="G34" s="147">
        <v>1</v>
      </c>
      <c r="H34" s="147">
        <v>1</v>
      </c>
      <c r="I34" s="64"/>
      <c r="J34" s="64"/>
      <c r="K34" s="139">
        <v>1922</v>
      </c>
      <c r="L34" s="147">
        <v>243</v>
      </c>
      <c r="M34" s="174"/>
    </row>
    <row r="35" spans="1:13" ht="15">
      <c r="A35" s="357"/>
      <c r="B35" s="358"/>
      <c r="C35" s="359"/>
      <c r="D35" s="147" t="s">
        <v>150</v>
      </c>
      <c r="E35" s="147">
        <v>1</v>
      </c>
      <c r="F35" s="147">
        <v>1</v>
      </c>
      <c r="G35" s="147"/>
      <c r="H35" s="147">
        <v>1</v>
      </c>
      <c r="I35" s="64"/>
      <c r="J35" s="64"/>
      <c r="K35" s="139">
        <v>1924</v>
      </c>
      <c r="L35" s="147">
        <v>77</v>
      </c>
      <c r="M35" s="174"/>
    </row>
    <row r="36" spans="1:13" ht="15">
      <c r="A36" s="357"/>
      <c r="B36" s="358"/>
      <c r="C36" s="359"/>
      <c r="D36" s="147" t="s">
        <v>150</v>
      </c>
      <c r="E36" s="147">
        <v>1</v>
      </c>
      <c r="F36" s="147"/>
      <c r="G36" s="147">
        <v>1</v>
      </c>
      <c r="H36" s="147">
        <v>1</v>
      </c>
      <c r="I36" s="64"/>
      <c r="J36" s="64"/>
      <c r="K36" s="139">
        <v>1924</v>
      </c>
      <c r="L36" s="147">
        <v>210</v>
      </c>
      <c r="M36" s="174"/>
    </row>
    <row r="37" spans="1:13" ht="15">
      <c r="A37" s="357"/>
      <c r="B37" s="358"/>
      <c r="C37" s="359"/>
      <c r="D37" s="147" t="s">
        <v>150</v>
      </c>
      <c r="E37" s="147">
        <v>1</v>
      </c>
      <c r="F37" s="147">
        <v>1</v>
      </c>
      <c r="G37" s="147"/>
      <c r="H37" s="147">
        <v>1</v>
      </c>
      <c r="I37" s="64"/>
      <c r="J37" s="64"/>
      <c r="K37" s="139">
        <v>1950</v>
      </c>
      <c r="L37" s="147">
        <v>43</v>
      </c>
      <c r="M37" s="174"/>
    </row>
    <row r="38" spans="1:13" ht="15">
      <c r="A38" s="357"/>
      <c r="B38" s="358"/>
      <c r="C38" s="359"/>
      <c r="D38" s="147" t="s">
        <v>150</v>
      </c>
      <c r="E38" s="147">
        <v>1</v>
      </c>
      <c r="F38" s="147">
        <v>1</v>
      </c>
      <c r="G38" s="147"/>
      <c r="H38" s="147">
        <v>1</v>
      </c>
      <c r="I38" s="64"/>
      <c r="J38" s="64"/>
      <c r="K38" s="139">
        <v>1927</v>
      </c>
      <c r="L38" s="147">
        <v>7</v>
      </c>
      <c r="M38" s="174"/>
    </row>
    <row r="39" spans="1:13" ht="15">
      <c r="A39" s="357"/>
      <c r="B39" s="358"/>
      <c r="C39" s="359"/>
      <c r="D39" s="147" t="s">
        <v>150</v>
      </c>
      <c r="E39" s="147">
        <v>1</v>
      </c>
      <c r="F39" s="147"/>
      <c r="G39" s="147">
        <v>1</v>
      </c>
      <c r="H39" s="147">
        <v>1</v>
      </c>
      <c r="I39" s="64"/>
      <c r="J39" s="64"/>
      <c r="K39" s="139">
        <v>1918</v>
      </c>
      <c r="L39" s="147">
        <v>214</v>
      </c>
      <c r="M39" s="174"/>
    </row>
    <row r="40" spans="1:13" ht="15">
      <c r="A40" s="357"/>
      <c r="B40" s="358"/>
      <c r="C40" s="359"/>
      <c r="D40" s="147" t="s">
        <v>150</v>
      </c>
      <c r="E40" s="147">
        <v>1</v>
      </c>
      <c r="F40" s="147"/>
      <c r="G40" s="147">
        <v>1</v>
      </c>
      <c r="H40" s="147">
        <v>1</v>
      </c>
      <c r="I40" s="64"/>
      <c r="J40" s="64"/>
      <c r="K40" s="139">
        <v>1936</v>
      </c>
      <c r="L40" s="147">
        <v>45</v>
      </c>
      <c r="M40" s="174"/>
    </row>
    <row r="41" spans="1:13" ht="15">
      <c r="A41" s="357"/>
      <c r="B41" s="358"/>
      <c r="C41" s="359"/>
      <c r="D41" s="147" t="s">
        <v>150</v>
      </c>
      <c r="E41" s="147">
        <v>1</v>
      </c>
      <c r="F41" s="147"/>
      <c r="G41" s="147">
        <v>1</v>
      </c>
      <c r="H41" s="147">
        <v>1</v>
      </c>
      <c r="I41" s="64"/>
      <c r="J41" s="64"/>
      <c r="K41" s="139">
        <v>1929</v>
      </c>
      <c r="L41" s="147">
        <v>23</v>
      </c>
      <c r="M41" s="174"/>
    </row>
    <row r="42" spans="1:13" ht="15">
      <c r="A42" s="357"/>
      <c r="B42" s="358"/>
      <c r="C42" s="359"/>
      <c r="D42" s="147" t="s">
        <v>150</v>
      </c>
      <c r="E42" s="147">
        <v>1</v>
      </c>
      <c r="F42" s="147">
        <v>1</v>
      </c>
      <c r="G42" s="147"/>
      <c r="H42" s="147">
        <v>1</v>
      </c>
      <c r="I42" s="64"/>
      <c r="J42" s="64"/>
      <c r="K42" s="139">
        <v>1931</v>
      </c>
      <c r="L42" s="147">
        <v>99</v>
      </c>
      <c r="M42" s="174"/>
    </row>
    <row r="43" spans="1:13" ht="15">
      <c r="A43" s="357"/>
      <c r="B43" s="358"/>
      <c r="C43" s="359"/>
      <c r="D43" s="147" t="s">
        <v>150</v>
      </c>
      <c r="E43" s="147">
        <v>1</v>
      </c>
      <c r="F43" s="147"/>
      <c r="G43" s="147">
        <v>1</v>
      </c>
      <c r="H43" s="147">
        <v>1</v>
      </c>
      <c r="I43" s="64"/>
      <c r="J43" s="64"/>
      <c r="K43" s="139">
        <v>1930</v>
      </c>
      <c r="L43" s="147">
        <v>105</v>
      </c>
      <c r="M43" s="174"/>
    </row>
    <row r="44" spans="1:13" ht="15">
      <c r="A44" s="357"/>
      <c r="B44" s="358"/>
      <c r="C44" s="359"/>
      <c r="D44" s="147" t="s">
        <v>150</v>
      </c>
      <c r="E44" s="147">
        <v>1</v>
      </c>
      <c r="F44" s="147">
        <v>1</v>
      </c>
      <c r="G44" s="147"/>
      <c r="H44" s="147">
        <v>1</v>
      </c>
      <c r="I44" s="64"/>
      <c r="J44" s="64"/>
      <c r="K44" s="139">
        <v>1938</v>
      </c>
      <c r="L44" s="147">
        <v>98</v>
      </c>
      <c r="M44" s="174"/>
    </row>
    <row r="45" spans="1:13" ht="15">
      <c r="A45" s="357"/>
      <c r="B45" s="358"/>
      <c r="C45" s="359"/>
      <c r="D45" s="147" t="s">
        <v>150</v>
      </c>
      <c r="E45" s="147">
        <v>1</v>
      </c>
      <c r="F45" s="147"/>
      <c r="G45" s="147">
        <v>1</v>
      </c>
      <c r="H45" s="147">
        <v>1</v>
      </c>
      <c r="I45" s="64"/>
      <c r="J45" s="64"/>
      <c r="K45" s="139">
        <v>1935</v>
      </c>
      <c r="L45" s="147">
        <v>250</v>
      </c>
      <c r="M45" s="174"/>
    </row>
    <row r="46" spans="1:13" ht="15">
      <c r="A46" s="357"/>
      <c r="B46" s="358"/>
      <c r="C46" s="359"/>
      <c r="D46" s="147" t="s">
        <v>150</v>
      </c>
      <c r="E46" s="147">
        <v>1</v>
      </c>
      <c r="F46" s="147">
        <v>1</v>
      </c>
      <c r="G46" s="147"/>
      <c r="H46" s="147">
        <v>1</v>
      </c>
      <c r="I46" s="64"/>
      <c r="J46" s="64"/>
      <c r="K46" s="139">
        <v>1938</v>
      </c>
      <c r="L46" s="147">
        <v>109</v>
      </c>
      <c r="M46" s="174"/>
    </row>
    <row r="47" spans="1:13" ht="15">
      <c r="A47" s="357"/>
      <c r="B47" s="358"/>
      <c r="C47" s="359"/>
      <c r="D47" s="147" t="s">
        <v>150</v>
      </c>
      <c r="E47" s="147">
        <v>1</v>
      </c>
      <c r="F47" s="147"/>
      <c r="G47" s="147">
        <v>1</v>
      </c>
      <c r="H47" s="147">
        <v>1</v>
      </c>
      <c r="I47" s="64"/>
      <c r="J47" s="64"/>
      <c r="K47" s="139">
        <v>1927</v>
      </c>
      <c r="L47" s="147">
        <v>231</v>
      </c>
      <c r="M47" s="174"/>
    </row>
    <row r="48" spans="1:13" ht="15">
      <c r="A48" s="357"/>
      <c r="B48" s="358"/>
      <c r="C48" s="359"/>
      <c r="D48" s="147" t="s">
        <v>150</v>
      </c>
      <c r="E48" s="147">
        <v>1</v>
      </c>
      <c r="F48" s="147"/>
      <c r="G48" s="147">
        <v>1</v>
      </c>
      <c r="H48" s="147">
        <v>1</v>
      </c>
      <c r="I48" s="64"/>
      <c r="J48" s="64"/>
      <c r="K48" s="139">
        <v>1935</v>
      </c>
      <c r="L48" s="147">
        <v>52</v>
      </c>
      <c r="M48" s="174"/>
    </row>
    <row r="49" spans="1:13" ht="15">
      <c r="A49" s="357"/>
      <c r="B49" s="358"/>
      <c r="C49" s="359"/>
      <c r="D49" s="147" t="s">
        <v>150</v>
      </c>
      <c r="E49" s="147">
        <v>1</v>
      </c>
      <c r="F49" s="147">
        <v>1</v>
      </c>
      <c r="G49" s="147"/>
      <c r="H49" s="147">
        <v>1</v>
      </c>
      <c r="I49" s="64"/>
      <c r="J49" s="64"/>
      <c r="K49" s="139">
        <v>1927</v>
      </c>
      <c r="L49" s="147">
        <v>180</v>
      </c>
      <c r="M49" s="174"/>
    </row>
    <row r="50" spans="1:13" ht="15">
      <c r="A50" s="357"/>
      <c r="B50" s="358"/>
      <c r="C50" s="359"/>
      <c r="D50" s="147" t="s">
        <v>150</v>
      </c>
      <c r="E50" s="147">
        <v>1</v>
      </c>
      <c r="F50" s="147"/>
      <c r="G50" s="147">
        <v>1</v>
      </c>
      <c r="H50" s="147">
        <v>1</v>
      </c>
      <c r="I50" s="64"/>
      <c r="J50" s="64"/>
      <c r="K50" s="139">
        <v>1940</v>
      </c>
      <c r="L50" s="147">
        <v>112</v>
      </c>
      <c r="M50" s="174"/>
    </row>
    <row r="51" spans="1:13" ht="15">
      <c r="A51" s="357"/>
      <c r="B51" s="358"/>
      <c r="C51" s="359"/>
      <c r="D51" s="147" t="s">
        <v>150</v>
      </c>
      <c r="E51" s="147">
        <v>1</v>
      </c>
      <c r="F51" s="147"/>
      <c r="G51" s="147">
        <v>1</v>
      </c>
      <c r="H51" s="147">
        <v>1</v>
      </c>
      <c r="I51" s="64"/>
      <c r="J51" s="64"/>
      <c r="K51" s="139">
        <v>1932</v>
      </c>
      <c r="L51" s="147">
        <v>88</v>
      </c>
      <c r="M51" s="174"/>
    </row>
    <row r="52" spans="1:13" ht="15">
      <c r="A52" s="357"/>
      <c r="B52" s="358"/>
      <c r="C52" s="324"/>
      <c r="D52" s="147" t="s">
        <v>150</v>
      </c>
      <c r="E52" s="147">
        <v>1</v>
      </c>
      <c r="F52" s="147">
        <v>1</v>
      </c>
      <c r="G52" s="147"/>
      <c r="H52" s="147">
        <v>1</v>
      </c>
      <c r="I52" s="64"/>
      <c r="J52" s="64"/>
      <c r="K52" s="139">
        <v>1930</v>
      </c>
      <c r="L52" s="147">
        <v>97</v>
      </c>
      <c r="M52" s="174"/>
    </row>
    <row r="53" spans="1:13" ht="15">
      <c r="A53" s="357"/>
      <c r="B53" s="358"/>
      <c r="C53" s="359"/>
      <c r="D53" s="147" t="s">
        <v>150</v>
      </c>
      <c r="E53" s="147">
        <v>1</v>
      </c>
      <c r="F53" s="147">
        <v>1</v>
      </c>
      <c r="G53" s="147"/>
      <c r="H53" s="147">
        <v>1</v>
      </c>
      <c r="I53" s="64"/>
      <c r="J53" s="64"/>
      <c r="K53" s="139">
        <v>1936</v>
      </c>
      <c r="L53" s="147">
        <v>214</v>
      </c>
      <c r="M53" s="174"/>
    </row>
    <row r="54" spans="1:13" s="133" customFormat="1" ht="15" customHeight="1">
      <c r="A54" s="374" t="s">
        <v>96</v>
      </c>
      <c r="B54" s="374"/>
      <c r="C54" s="84"/>
      <c r="D54" s="143"/>
      <c r="E54" s="143">
        <f>SUM(E12:E53)</f>
        <v>42</v>
      </c>
      <c r="F54" s="143">
        <f>SUM(F12:F53)</f>
        <v>12</v>
      </c>
      <c r="G54" s="143">
        <f>SUM(G12:G53)</f>
        <v>30</v>
      </c>
      <c r="H54" s="143">
        <f>SUM(H12:H53)</f>
        <v>42</v>
      </c>
      <c r="I54" s="143">
        <f>SUM(I12:I53)</f>
        <v>0</v>
      </c>
      <c r="J54" s="143"/>
      <c r="K54" s="143"/>
      <c r="L54" s="143">
        <f>SUM(L12:L53)</f>
        <v>4522</v>
      </c>
      <c r="M54" s="176">
        <f>M63/L63*L54</f>
        <v>216676.57273775217</v>
      </c>
    </row>
    <row r="55" spans="1:14" s="87" customFormat="1" ht="15.75">
      <c r="A55" s="381" t="s">
        <v>82</v>
      </c>
      <c r="B55" s="381"/>
      <c r="C55" s="48"/>
      <c r="D55" s="48"/>
      <c r="E55" s="48"/>
      <c r="F55" s="48"/>
      <c r="G55" s="48"/>
      <c r="H55" s="48"/>
      <c r="I55" s="48"/>
      <c r="J55" s="48"/>
      <c r="K55" s="48"/>
      <c r="L55" s="171"/>
      <c r="M55" s="171"/>
      <c r="N55" s="133"/>
    </row>
    <row r="56" spans="1:14" s="173" customFormat="1" ht="30" customHeight="1">
      <c r="A56" s="52" t="s">
        <v>5</v>
      </c>
      <c r="B56" s="52" t="s">
        <v>1</v>
      </c>
      <c r="C56" s="52" t="s">
        <v>3</v>
      </c>
      <c r="D56" s="52" t="s">
        <v>12</v>
      </c>
      <c r="E56" s="52" t="s">
        <v>120</v>
      </c>
      <c r="F56" s="52" t="s">
        <v>90</v>
      </c>
      <c r="G56" s="52" t="s">
        <v>91</v>
      </c>
      <c r="H56" s="52" t="s">
        <v>140</v>
      </c>
      <c r="I56" s="52" t="s">
        <v>127</v>
      </c>
      <c r="J56" s="52" t="s">
        <v>159</v>
      </c>
      <c r="K56" s="52" t="s">
        <v>119</v>
      </c>
      <c r="L56" s="52" t="s">
        <v>125</v>
      </c>
      <c r="M56" s="52" t="s">
        <v>195</v>
      </c>
      <c r="N56" s="172"/>
    </row>
    <row r="57" spans="1:13" ht="15">
      <c r="A57" s="357"/>
      <c r="B57" s="358"/>
      <c r="C57" s="359"/>
      <c r="D57" s="147" t="s">
        <v>150</v>
      </c>
      <c r="E57" s="147">
        <v>1</v>
      </c>
      <c r="F57" s="147">
        <v>1</v>
      </c>
      <c r="G57" s="147"/>
      <c r="H57" s="147">
        <v>1</v>
      </c>
      <c r="I57" s="64"/>
      <c r="J57" s="64"/>
      <c r="K57" s="139">
        <v>1934</v>
      </c>
      <c r="L57" s="147">
        <v>108</v>
      </c>
      <c r="M57" s="174"/>
    </row>
    <row r="58" spans="1:13" ht="15">
      <c r="A58" s="357"/>
      <c r="B58" s="358"/>
      <c r="C58" s="359"/>
      <c r="D58" s="147" t="s">
        <v>150</v>
      </c>
      <c r="E58" s="147">
        <v>1</v>
      </c>
      <c r="F58" s="147"/>
      <c r="G58" s="147">
        <v>1</v>
      </c>
      <c r="H58" s="147">
        <v>1</v>
      </c>
      <c r="I58" s="64"/>
      <c r="J58" s="64"/>
      <c r="K58" s="139">
        <v>1943</v>
      </c>
      <c r="L58" s="147">
        <v>119</v>
      </c>
      <c r="M58" s="174"/>
    </row>
    <row r="59" spans="1:13" s="133" customFormat="1" ht="15" customHeight="1">
      <c r="A59" s="374" t="s">
        <v>146</v>
      </c>
      <c r="B59" s="374"/>
      <c r="C59" s="84"/>
      <c r="D59" s="143"/>
      <c r="E59" s="143">
        <f>SUM(E57:E58)</f>
        <v>2</v>
      </c>
      <c r="F59" s="143">
        <f>SUM(F57:F58)</f>
        <v>1</v>
      </c>
      <c r="G59" s="143">
        <f>SUM(G57:G58)</f>
        <v>1</v>
      </c>
      <c r="H59" s="143">
        <f>SUM(H57:H58)</f>
        <v>2</v>
      </c>
      <c r="I59" s="143">
        <v>0</v>
      </c>
      <c r="J59" s="143"/>
      <c r="K59" s="143"/>
      <c r="L59" s="143">
        <f>SUM(L57:L58)</f>
        <v>227</v>
      </c>
      <c r="M59" s="253">
        <f>M63/L63*L59</f>
        <v>10876.953120625772</v>
      </c>
    </row>
    <row r="60" spans="1:14" s="87" customFormat="1" ht="15.75">
      <c r="A60" s="381" t="s">
        <v>84</v>
      </c>
      <c r="B60" s="381"/>
      <c r="C60" s="48"/>
      <c r="D60" s="48"/>
      <c r="E60" s="48"/>
      <c r="F60" s="48"/>
      <c r="G60" s="48"/>
      <c r="H60" s="48"/>
      <c r="I60" s="48"/>
      <c r="J60" s="48"/>
      <c r="K60" s="48"/>
      <c r="L60" s="171"/>
      <c r="M60" s="171"/>
      <c r="N60" s="133"/>
    </row>
    <row r="61" spans="1:14" s="173" customFormat="1" ht="30" customHeight="1">
      <c r="A61" s="52" t="s">
        <v>5</v>
      </c>
      <c r="B61" s="52" t="s">
        <v>1</v>
      </c>
      <c r="C61" s="52" t="s">
        <v>3</v>
      </c>
      <c r="D61" s="52" t="s">
        <v>12</v>
      </c>
      <c r="E61" s="52" t="s">
        <v>120</v>
      </c>
      <c r="F61" s="52" t="s">
        <v>90</v>
      </c>
      <c r="G61" s="52" t="s">
        <v>91</v>
      </c>
      <c r="H61" s="52" t="s">
        <v>140</v>
      </c>
      <c r="I61" s="52" t="s">
        <v>127</v>
      </c>
      <c r="J61" s="52" t="s">
        <v>159</v>
      </c>
      <c r="K61" s="52" t="s">
        <v>119</v>
      </c>
      <c r="L61" s="52" t="s">
        <v>125</v>
      </c>
      <c r="M61" s="52" t="s">
        <v>195</v>
      </c>
      <c r="N61" s="172"/>
    </row>
    <row r="62" spans="1:13" s="133" customFormat="1" ht="15" customHeight="1">
      <c r="A62" s="374" t="s">
        <v>99</v>
      </c>
      <c r="B62" s="374"/>
      <c r="C62" s="84"/>
      <c r="D62" s="143"/>
      <c r="E62" s="143">
        <v>0</v>
      </c>
      <c r="F62" s="143">
        <v>0</v>
      </c>
      <c r="G62" s="143">
        <v>0</v>
      </c>
      <c r="H62" s="143">
        <v>0</v>
      </c>
      <c r="I62" s="143">
        <v>0</v>
      </c>
      <c r="J62" s="143"/>
      <c r="K62" s="143"/>
      <c r="L62" s="143">
        <v>0</v>
      </c>
      <c r="M62" s="162">
        <v>0</v>
      </c>
    </row>
    <row r="63" spans="1:15" ht="15">
      <c r="A63" s="392" t="s">
        <v>189</v>
      </c>
      <c r="B63" s="393"/>
      <c r="C63" s="167"/>
      <c r="D63" s="84"/>
      <c r="E63" s="143">
        <f>SUM(E6+E54+E59+E62)</f>
        <v>45</v>
      </c>
      <c r="F63" s="143">
        <f>SUM(F6+F54+F59+F62)</f>
        <v>13</v>
      </c>
      <c r="G63" s="143">
        <f>SUM(G6+G54+G59+G62)</f>
        <v>32</v>
      </c>
      <c r="H63" s="84">
        <v>45</v>
      </c>
      <c r="I63" s="84">
        <v>0</v>
      </c>
      <c r="J63" s="84"/>
      <c r="K63" s="84"/>
      <c r="L63" s="143">
        <f>L6+L54+L59+L62</f>
        <v>4858</v>
      </c>
      <c r="M63" s="255">
        <f>242908.4-2400.02-7732</f>
        <v>232776.38</v>
      </c>
      <c r="O63" s="126"/>
    </row>
    <row r="64" spans="1:14" s="87" customFormat="1" ht="15.75">
      <c r="A64" s="381" t="s">
        <v>78</v>
      </c>
      <c r="B64" s="381"/>
      <c r="C64" s="48"/>
      <c r="D64" s="48"/>
      <c r="E64" s="48"/>
      <c r="F64" s="48"/>
      <c r="G64" s="48"/>
      <c r="H64" s="48"/>
      <c r="I64" s="48"/>
      <c r="J64" s="48"/>
      <c r="K64" s="48"/>
      <c r="L64" s="171"/>
      <c r="M64" s="171"/>
      <c r="N64" s="133"/>
    </row>
    <row r="65" spans="1:14" s="173" customFormat="1" ht="30" customHeight="1">
      <c r="A65" s="52" t="s">
        <v>5</v>
      </c>
      <c r="B65" s="52" t="s">
        <v>1</v>
      </c>
      <c r="C65" s="52" t="s">
        <v>3</v>
      </c>
      <c r="D65" s="52" t="s">
        <v>12</v>
      </c>
      <c r="E65" s="52" t="s">
        <v>120</v>
      </c>
      <c r="F65" s="52" t="s">
        <v>90</v>
      </c>
      <c r="G65" s="52" t="s">
        <v>91</v>
      </c>
      <c r="H65" s="52" t="s">
        <v>140</v>
      </c>
      <c r="I65" s="52" t="s">
        <v>127</v>
      </c>
      <c r="J65" s="52" t="s">
        <v>159</v>
      </c>
      <c r="K65" s="52" t="s">
        <v>119</v>
      </c>
      <c r="L65" s="52" t="s">
        <v>125</v>
      </c>
      <c r="M65" s="52" t="s">
        <v>195</v>
      </c>
      <c r="N65" s="172"/>
    </row>
    <row r="66" spans="1:13" s="172" customFormat="1" ht="15" customHeight="1">
      <c r="A66" s="357"/>
      <c r="B66" s="358"/>
      <c r="C66" s="359"/>
      <c r="D66" s="147" t="s">
        <v>151</v>
      </c>
      <c r="E66" s="147">
        <v>1</v>
      </c>
      <c r="F66" s="64"/>
      <c r="G66" s="64">
        <v>1</v>
      </c>
      <c r="H66" s="147">
        <v>1</v>
      </c>
      <c r="I66" s="64"/>
      <c r="J66" s="64"/>
      <c r="K66" s="139">
        <v>1929</v>
      </c>
      <c r="L66" s="147">
        <v>128</v>
      </c>
      <c r="M66" s="53"/>
    </row>
    <row r="67" spans="1:13" s="172" customFormat="1" ht="15" customHeight="1">
      <c r="A67" s="357"/>
      <c r="B67" s="358"/>
      <c r="C67" s="359"/>
      <c r="D67" s="147" t="s">
        <v>151</v>
      </c>
      <c r="E67" s="147">
        <v>1</v>
      </c>
      <c r="F67" s="64">
        <v>1</v>
      </c>
      <c r="G67" s="64"/>
      <c r="H67" s="147">
        <v>1</v>
      </c>
      <c r="I67" s="64"/>
      <c r="J67" s="64"/>
      <c r="K67" s="139">
        <v>1930</v>
      </c>
      <c r="L67" s="147">
        <v>75</v>
      </c>
      <c r="M67" s="53"/>
    </row>
    <row r="68" spans="1:13" s="172" customFormat="1" ht="15" customHeight="1">
      <c r="A68" s="357"/>
      <c r="B68" s="358"/>
      <c r="C68" s="359"/>
      <c r="D68" s="147" t="s">
        <v>151</v>
      </c>
      <c r="E68" s="147">
        <v>1</v>
      </c>
      <c r="F68" s="64">
        <v>1</v>
      </c>
      <c r="G68" s="64"/>
      <c r="H68" s="147">
        <v>1</v>
      </c>
      <c r="I68" s="64"/>
      <c r="J68" s="64"/>
      <c r="K68" s="139">
        <v>1935</v>
      </c>
      <c r="L68" s="147">
        <v>92</v>
      </c>
      <c r="M68" s="53"/>
    </row>
    <row r="69" spans="1:13" ht="12.75">
      <c r="A69" s="357"/>
      <c r="B69" s="358"/>
      <c r="C69" s="359"/>
      <c r="D69" s="147" t="s">
        <v>151</v>
      </c>
      <c r="E69" s="147">
        <v>1</v>
      </c>
      <c r="F69" s="147">
        <v>1</v>
      </c>
      <c r="G69" s="147"/>
      <c r="H69" s="147">
        <v>1</v>
      </c>
      <c r="I69" s="55"/>
      <c r="J69" s="55"/>
      <c r="K69" s="139">
        <v>1933</v>
      </c>
      <c r="L69" s="147">
        <v>21</v>
      </c>
      <c r="M69" s="178"/>
    </row>
    <row r="70" spans="1:13" ht="15" customHeight="1">
      <c r="A70" s="357"/>
      <c r="B70" s="358"/>
      <c r="C70" s="359"/>
      <c r="D70" s="147" t="s">
        <v>151</v>
      </c>
      <c r="E70" s="147">
        <v>1</v>
      </c>
      <c r="F70" s="63"/>
      <c r="G70" s="63">
        <v>1</v>
      </c>
      <c r="H70" s="147">
        <v>1</v>
      </c>
      <c r="I70" s="63"/>
      <c r="J70" s="63"/>
      <c r="K70" s="139">
        <v>1938</v>
      </c>
      <c r="L70" s="147">
        <v>62</v>
      </c>
      <c r="M70" s="174"/>
    </row>
    <row r="71" spans="1:13" ht="15">
      <c r="A71" s="357"/>
      <c r="B71" s="358"/>
      <c r="C71" s="359"/>
      <c r="D71" s="147" t="s">
        <v>151</v>
      </c>
      <c r="E71" s="147">
        <v>1</v>
      </c>
      <c r="F71" s="147"/>
      <c r="G71" s="147">
        <v>1</v>
      </c>
      <c r="H71" s="147">
        <v>1</v>
      </c>
      <c r="I71" s="63"/>
      <c r="J71" s="63"/>
      <c r="K71" s="139">
        <v>1923</v>
      </c>
      <c r="L71" s="147">
        <v>84</v>
      </c>
      <c r="M71" s="174"/>
    </row>
    <row r="72" spans="1:13" ht="15">
      <c r="A72" s="357"/>
      <c r="B72" s="358"/>
      <c r="C72" s="359"/>
      <c r="D72" s="147" t="s">
        <v>151</v>
      </c>
      <c r="E72" s="147">
        <v>1</v>
      </c>
      <c r="F72" s="147">
        <v>1</v>
      </c>
      <c r="G72" s="147"/>
      <c r="H72" s="147">
        <v>1</v>
      </c>
      <c r="I72" s="63"/>
      <c r="J72" s="63"/>
      <c r="K72" s="139">
        <v>1927</v>
      </c>
      <c r="L72" s="147">
        <v>33</v>
      </c>
      <c r="M72" s="174"/>
    </row>
    <row r="73" spans="1:13" ht="15" customHeight="1">
      <c r="A73" s="357"/>
      <c r="B73" s="358"/>
      <c r="C73" s="359"/>
      <c r="D73" s="147" t="s">
        <v>151</v>
      </c>
      <c r="E73" s="147">
        <v>1</v>
      </c>
      <c r="F73" s="63">
        <v>1</v>
      </c>
      <c r="G73" s="63"/>
      <c r="H73" s="147">
        <v>1</v>
      </c>
      <c r="I73" s="63"/>
      <c r="J73" s="63"/>
      <c r="K73" s="139">
        <v>1941</v>
      </c>
      <c r="L73" s="147">
        <v>223</v>
      </c>
      <c r="M73" s="174"/>
    </row>
    <row r="74" spans="1:13" ht="15">
      <c r="A74" s="357"/>
      <c r="B74" s="358"/>
      <c r="C74" s="359"/>
      <c r="D74" s="147" t="s">
        <v>151</v>
      </c>
      <c r="E74" s="147">
        <v>1</v>
      </c>
      <c r="F74" s="147">
        <v>1</v>
      </c>
      <c r="G74" s="147"/>
      <c r="H74" s="147">
        <v>1</v>
      </c>
      <c r="I74" s="63"/>
      <c r="J74" s="63"/>
      <c r="K74" s="139">
        <v>1927</v>
      </c>
      <c r="L74" s="147">
        <v>210</v>
      </c>
      <c r="M74" s="174"/>
    </row>
    <row r="75" spans="1:13" ht="15">
      <c r="A75" s="357"/>
      <c r="B75" s="358"/>
      <c r="C75" s="359"/>
      <c r="D75" s="147" t="s">
        <v>151</v>
      </c>
      <c r="E75" s="147">
        <v>1</v>
      </c>
      <c r="F75" s="147"/>
      <c r="G75" s="147">
        <v>1</v>
      </c>
      <c r="H75" s="147">
        <v>1</v>
      </c>
      <c r="I75" s="63"/>
      <c r="J75" s="63"/>
      <c r="K75" s="139">
        <v>1940</v>
      </c>
      <c r="L75" s="147">
        <v>33</v>
      </c>
      <c r="M75" s="174"/>
    </row>
    <row r="76" spans="1:13" ht="15">
      <c r="A76" s="357"/>
      <c r="B76" s="358"/>
      <c r="C76" s="359"/>
      <c r="D76" s="147" t="s">
        <v>151</v>
      </c>
      <c r="E76" s="147">
        <v>1</v>
      </c>
      <c r="F76" s="147"/>
      <c r="G76" s="147">
        <v>1</v>
      </c>
      <c r="H76" s="147">
        <v>1</v>
      </c>
      <c r="I76" s="63"/>
      <c r="J76" s="63"/>
      <c r="K76" s="139">
        <v>1924</v>
      </c>
      <c r="L76" s="147">
        <v>15</v>
      </c>
      <c r="M76" s="174"/>
    </row>
    <row r="77" spans="1:13" ht="15">
      <c r="A77" s="357"/>
      <c r="B77" s="358"/>
      <c r="C77" s="359"/>
      <c r="D77" s="147" t="s">
        <v>151</v>
      </c>
      <c r="E77" s="147">
        <v>1</v>
      </c>
      <c r="F77" s="147">
        <v>1</v>
      </c>
      <c r="G77" s="147"/>
      <c r="H77" s="147">
        <v>1</v>
      </c>
      <c r="I77" s="63"/>
      <c r="J77" s="63"/>
      <c r="K77" s="139">
        <v>1938</v>
      </c>
      <c r="L77" s="147">
        <v>98</v>
      </c>
      <c r="M77" s="174"/>
    </row>
    <row r="78" spans="1:13" ht="15">
      <c r="A78" s="357"/>
      <c r="B78" s="358"/>
      <c r="C78" s="359"/>
      <c r="D78" s="147" t="s">
        <v>151</v>
      </c>
      <c r="E78" s="147">
        <v>1</v>
      </c>
      <c r="F78" s="147">
        <v>1</v>
      </c>
      <c r="G78" s="147"/>
      <c r="H78" s="147">
        <v>1</v>
      </c>
      <c r="I78" s="63"/>
      <c r="J78" s="63"/>
      <c r="K78" s="139">
        <v>1919</v>
      </c>
      <c r="L78" s="147">
        <v>2</v>
      </c>
      <c r="M78" s="174"/>
    </row>
    <row r="79" spans="1:13" ht="15">
      <c r="A79" s="357"/>
      <c r="B79" s="358"/>
      <c r="C79" s="359"/>
      <c r="D79" s="147" t="s">
        <v>151</v>
      </c>
      <c r="E79" s="147">
        <v>1</v>
      </c>
      <c r="F79" s="147"/>
      <c r="G79" s="147">
        <v>1</v>
      </c>
      <c r="H79" s="147">
        <v>1</v>
      </c>
      <c r="I79" s="63"/>
      <c r="J79" s="63"/>
      <c r="K79" s="139">
        <v>1929</v>
      </c>
      <c r="L79" s="147">
        <v>88</v>
      </c>
      <c r="M79" s="174"/>
    </row>
    <row r="80" spans="1:13" ht="15">
      <c r="A80" s="357"/>
      <c r="B80" s="358"/>
      <c r="C80" s="359"/>
      <c r="D80" s="147" t="s">
        <v>151</v>
      </c>
      <c r="E80" s="147">
        <v>1</v>
      </c>
      <c r="F80" s="147"/>
      <c r="G80" s="147">
        <v>1</v>
      </c>
      <c r="H80" s="147">
        <v>1</v>
      </c>
      <c r="I80" s="63"/>
      <c r="J80" s="63"/>
      <c r="K80" s="139">
        <v>1931</v>
      </c>
      <c r="L80" s="147">
        <v>126</v>
      </c>
      <c r="M80" s="174"/>
    </row>
    <row r="81" spans="1:13" ht="15">
      <c r="A81" s="357"/>
      <c r="B81" s="358"/>
      <c r="C81" s="359"/>
      <c r="D81" s="147" t="s">
        <v>151</v>
      </c>
      <c r="E81" s="147">
        <v>1</v>
      </c>
      <c r="F81" s="147">
        <v>1</v>
      </c>
      <c r="G81" s="147"/>
      <c r="H81" s="147">
        <v>1</v>
      </c>
      <c r="I81" s="63"/>
      <c r="J81" s="63"/>
      <c r="K81" s="139">
        <v>1943</v>
      </c>
      <c r="L81" s="147">
        <v>1</v>
      </c>
      <c r="M81" s="174"/>
    </row>
    <row r="82" spans="1:13" ht="15">
      <c r="A82" s="357"/>
      <c r="B82" s="358"/>
      <c r="C82" s="359"/>
      <c r="D82" s="147" t="s">
        <v>151</v>
      </c>
      <c r="E82" s="147">
        <v>1</v>
      </c>
      <c r="F82" s="147">
        <v>1</v>
      </c>
      <c r="G82" s="147"/>
      <c r="H82" s="147">
        <v>1</v>
      </c>
      <c r="I82" s="63"/>
      <c r="J82" s="63"/>
      <c r="K82" s="139">
        <v>1925</v>
      </c>
      <c r="L82" s="147">
        <v>47</v>
      </c>
      <c r="M82" s="174"/>
    </row>
    <row r="83" spans="1:13" ht="15">
      <c r="A83" s="357"/>
      <c r="B83" s="358"/>
      <c r="C83" s="359"/>
      <c r="D83" s="147" t="s">
        <v>151</v>
      </c>
      <c r="E83" s="147">
        <v>1</v>
      </c>
      <c r="F83" s="147">
        <v>1</v>
      </c>
      <c r="G83" s="147"/>
      <c r="H83" s="147">
        <v>1</v>
      </c>
      <c r="I83" s="63"/>
      <c r="J83" s="63"/>
      <c r="K83" s="139">
        <v>1930</v>
      </c>
      <c r="L83" s="147">
        <v>10</v>
      </c>
      <c r="M83" s="174"/>
    </row>
    <row r="84" spans="1:13" ht="15">
      <c r="A84" s="357"/>
      <c r="B84" s="358"/>
      <c r="C84" s="359"/>
      <c r="D84" s="147" t="s">
        <v>151</v>
      </c>
      <c r="E84" s="147">
        <v>1</v>
      </c>
      <c r="F84" s="147"/>
      <c r="G84" s="147">
        <v>1</v>
      </c>
      <c r="H84" s="147">
        <v>1</v>
      </c>
      <c r="I84" s="63"/>
      <c r="J84" s="63"/>
      <c r="K84" s="139">
        <v>1924</v>
      </c>
      <c r="L84" s="147">
        <v>7</v>
      </c>
      <c r="M84" s="174"/>
    </row>
    <row r="85" spans="1:13" ht="15">
      <c r="A85" s="357"/>
      <c r="B85" s="358"/>
      <c r="C85" s="359"/>
      <c r="D85" s="147" t="s">
        <v>151</v>
      </c>
      <c r="E85" s="147">
        <v>1</v>
      </c>
      <c r="F85" s="147"/>
      <c r="G85" s="147">
        <v>1</v>
      </c>
      <c r="H85" s="147">
        <v>1</v>
      </c>
      <c r="I85" s="63"/>
      <c r="J85" s="63"/>
      <c r="K85" s="139">
        <v>1937</v>
      </c>
      <c r="L85" s="147">
        <v>209</v>
      </c>
      <c r="M85" s="174"/>
    </row>
    <row r="86" spans="1:13" ht="15">
      <c r="A86" s="357"/>
      <c r="B86" s="358"/>
      <c r="C86" s="359"/>
      <c r="D86" s="147" t="s">
        <v>151</v>
      </c>
      <c r="E86" s="147">
        <v>1</v>
      </c>
      <c r="F86" s="147"/>
      <c r="G86" s="147">
        <v>1</v>
      </c>
      <c r="H86" s="147">
        <v>1</v>
      </c>
      <c r="I86" s="63"/>
      <c r="J86" s="63"/>
      <c r="K86" s="139">
        <v>1928</v>
      </c>
      <c r="L86" s="147">
        <v>196</v>
      </c>
      <c r="M86" s="174"/>
    </row>
    <row r="87" spans="1:13" ht="15">
      <c r="A87" s="357"/>
      <c r="B87" s="358"/>
      <c r="C87" s="359"/>
      <c r="D87" s="147" t="s">
        <v>151</v>
      </c>
      <c r="E87" s="147">
        <v>1</v>
      </c>
      <c r="F87" s="147"/>
      <c r="G87" s="147">
        <v>1</v>
      </c>
      <c r="H87" s="147">
        <v>1</v>
      </c>
      <c r="I87" s="63"/>
      <c r="J87" s="63"/>
      <c r="K87" s="139">
        <v>1928</v>
      </c>
      <c r="L87" s="147">
        <v>108</v>
      </c>
      <c r="M87" s="174"/>
    </row>
    <row r="88" spans="1:13" ht="15">
      <c r="A88" s="357"/>
      <c r="B88" s="358"/>
      <c r="C88" s="359"/>
      <c r="D88" s="147" t="s">
        <v>151</v>
      </c>
      <c r="E88" s="147">
        <v>1</v>
      </c>
      <c r="F88" s="147">
        <v>1</v>
      </c>
      <c r="G88" s="147"/>
      <c r="H88" s="147">
        <v>1</v>
      </c>
      <c r="I88" s="63"/>
      <c r="J88" s="63"/>
      <c r="K88" s="139">
        <v>1935</v>
      </c>
      <c r="L88" s="147">
        <v>12</v>
      </c>
      <c r="M88" s="174"/>
    </row>
    <row r="89" spans="1:13" ht="15">
      <c r="A89" s="357"/>
      <c r="B89" s="358"/>
      <c r="C89" s="359"/>
      <c r="D89" s="147" t="s">
        <v>151</v>
      </c>
      <c r="E89" s="147">
        <v>1</v>
      </c>
      <c r="F89" s="147">
        <v>1</v>
      </c>
      <c r="G89" s="147"/>
      <c r="H89" s="147">
        <v>1</v>
      </c>
      <c r="I89" s="63"/>
      <c r="J89" s="63"/>
      <c r="K89" s="139">
        <v>1923</v>
      </c>
      <c r="L89" s="147">
        <v>30</v>
      </c>
      <c r="M89" s="174"/>
    </row>
    <row r="90" spans="1:13" ht="15">
      <c r="A90" s="357"/>
      <c r="B90" s="358"/>
      <c r="C90" s="359"/>
      <c r="D90" s="147" t="s">
        <v>151</v>
      </c>
      <c r="E90" s="147">
        <v>1</v>
      </c>
      <c r="F90" s="147"/>
      <c r="G90" s="147">
        <v>1</v>
      </c>
      <c r="H90" s="147">
        <v>1</v>
      </c>
      <c r="I90" s="63"/>
      <c r="J90" s="63"/>
      <c r="K90" s="139">
        <v>1935</v>
      </c>
      <c r="L90" s="147">
        <v>208</v>
      </c>
      <c r="M90" s="174"/>
    </row>
    <row r="91" spans="1:13" ht="15">
      <c r="A91" s="357"/>
      <c r="B91" s="358"/>
      <c r="C91" s="359"/>
      <c r="D91" s="147" t="s">
        <v>151</v>
      </c>
      <c r="E91" s="147">
        <v>1</v>
      </c>
      <c r="F91" s="147"/>
      <c r="G91" s="147">
        <v>1</v>
      </c>
      <c r="H91" s="147">
        <v>1</v>
      </c>
      <c r="I91" s="63"/>
      <c r="J91" s="63"/>
      <c r="K91" s="139">
        <v>1934</v>
      </c>
      <c r="L91" s="147">
        <v>198</v>
      </c>
      <c r="M91" s="174"/>
    </row>
    <row r="92" spans="1:13" ht="15">
      <c r="A92" s="357"/>
      <c r="B92" s="358"/>
      <c r="C92" s="359"/>
      <c r="D92" s="147" t="s">
        <v>151</v>
      </c>
      <c r="E92" s="147">
        <v>1</v>
      </c>
      <c r="F92" s="147"/>
      <c r="G92" s="147">
        <v>1</v>
      </c>
      <c r="H92" s="147">
        <v>1</v>
      </c>
      <c r="I92" s="63"/>
      <c r="J92" s="63"/>
      <c r="K92" s="139">
        <v>1914</v>
      </c>
      <c r="L92" s="147">
        <v>3</v>
      </c>
      <c r="M92" s="174"/>
    </row>
    <row r="93" spans="1:13" ht="15">
      <c r="A93" s="357"/>
      <c r="B93" s="358"/>
      <c r="C93" s="359"/>
      <c r="D93" s="147" t="s">
        <v>151</v>
      </c>
      <c r="E93" s="147">
        <v>1</v>
      </c>
      <c r="F93" s="147">
        <v>1</v>
      </c>
      <c r="G93" s="147"/>
      <c r="H93" s="147">
        <v>1</v>
      </c>
      <c r="I93" s="63"/>
      <c r="J93" s="63"/>
      <c r="K93" s="139">
        <v>1923</v>
      </c>
      <c r="L93" s="147">
        <v>216</v>
      </c>
      <c r="M93" s="174"/>
    </row>
    <row r="94" spans="1:13" ht="15">
      <c r="A94" s="357"/>
      <c r="B94" s="358"/>
      <c r="C94" s="359"/>
      <c r="D94" s="147" t="s">
        <v>151</v>
      </c>
      <c r="E94" s="147">
        <v>1</v>
      </c>
      <c r="F94" s="147">
        <v>1</v>
      </c>
      <c r="G94" s="147"/>
      <c r="H94" s="147">
        <v>1</v>
      </c>
      <c r="I94" s="63"/>
      <c r="J94" s="63"/>
      <c r="K94" s="139">
        <v>1928</v>
      </c>
      <c r="L94" s="147">
        <v>67</v>
      </c>
      <c r="M94" s="174"/>
    </row>
    <row r="95" spans="1:13" ht="15">
      <c r="A95" s="357"/>
      <c r="B95" s="358"/>
      <c r="C95" s="359"/>
      <c r="D95" s="147" t="s">
        <v>151</v>
      </c>
      <c r="E95" s="147">
        <v>1</v>
      </c>
      <c r="F95" s="147">
        <v>1</v>
      </c>
      <c r="G95" s="147"/>
      <c r="H95" s="147">
        <v>1</v>
      </c>
      <c r="I95" s="63"/>
      <c r="J95" s="63"/>
      <c r="K95" s="139">
        <v>1943</v>
      </c>
      <c r="L95" s="147">
        <v>98</v>
      </c>
      <c r="M95" s="174"/>
    </row>
    <row r="96" spans="1:13" ht="15">
      <c r="A96" s="357"/>
      <c r="B96" s="358"/>
      <c r="C96" s="359"/>
      <c r="D96" s="147" t="s">
        <v>151</v>
      </c>
      <c r="E96" s="147">
        <v>1</v>
      </c>
      <c r="F96" s="147">
        <v>1</v>
      </c>
      <c r="G96" s="147"/>
      <c r="H96" s="147">
        <v>1</v>
      </c>
      <c r="I96" s="63"/>
      <c r="J96" s="63"/>
      <c r="K96" s="139">
        <v>1922</v>
      </c>
      <c r="L96" s="147">
        <v>226</v>
      </c>
      <c r="M96" s="174"/>
    </row>
    <row r="97" spans="1:13" ht="15">
      <c r="A97" s="357"/>
      <c r="B97" s="358"/>
      <c r="C97" s="359"/>
      <c r="D97" s="147" t="s">
        <v>151</v>
      </c>
      <c r="E97" s="147">
        <v>1</v>
      </c>
      <c r="F97" s="147"/>
      <c r="G97" s="147">
        <v>1</v>
      </c>
      <c r="H97" s="147">
        <v>1</v>
      </c>
      <c r="I97" s="63"/>
      <c r="J97" s="63"/>
      <c r="K97" s="139">
        <v>1937</v>
      </c>
      <c r="L97" s="147">
        <v>169</v>
      </c>
      <c r="M97" s="174"/>
    </row>
    <row r="98" spans="1:13" ht="15">
      <c r="A98" s="357"/>
      <c r="B98" s="358"/>
      <c r="C98" s="359"/>
      <c r="D98" s="147" t="s">
        <v>151</v>
      </c>
      <c r="E98" s="147">
        <v>1</v>
      </c>
      <c r="F98" s="147"/>
      <c r="G98" s="147">
        <v>1</v>
      </c>
      <c r="H98" s="147">
        <v>1</v>
      </c>
      <c r="I98" s="63"/>
      <c r="J98" s="63"/>
      <c r="K98" s="139">
        <v>1940</v>
      </c>
      <c r="L98" s="147">
        <v>35</v>
      </c>
      <c r="M98" s="174"/>
    </row>
    <row r="99" spans="1:13" ht="15">
      <c r="A99" s="357"/>
      <c r="B99" s="358"/>
      <c r="C99" s="359"/>
      <c r="D99" s="147" t="s">
        <v>151</v>
      </c>
      <c r="E99" s="147">
        <v>1</v>
      </c>
      <c r="F99" s="147">
        <v>1</v>
      </c>
      <c r="G99" s="147"/>
      <c r="H99" s="147">
        <v>1</v>
      </c>
      <c r="I99" s="63"/>
      <c r="J99" s="63"/>
      <c r="K99" s="139">
        <v>1933</v>
      </c>
      <c r="L99" s="147">
        <v>214</v>
      </c>
      <c r="M99" s="174"/>
    </row>
    <row r="100" spans="1:13" ht="15">
      <c r="A100" s="357"/>
      <c r="B100" s="358"/>
      <c r="C100" s="359"/>
      <c r="D100" s="147" t="s">
        <v>151</v>
      </c>
      <c r="E100" s="147">
        <v>1</v>
      </c>
      <c r="F100" s="147"/>
      <c r="G100" s="147">
        <v>1</v>
      </c>
      <c r="H100" s="147">
        <v>1</v>
      </c>
      <c r="I100" s="63"/>
      <c r="J100" s="63"/>
      <c r="K100" s="139">
        <v>1926</v>
      </c>
      <c r="L100" s="147">
        <v>162</v>
      </c>
      <c r="M100" s="174"/>
    </row>
    <row r="101" spans="1:13" ht="15">
      <c r="A101" s="357"/>
      <c r="B101" s="358"/>
      <c r="C101" s="359"/>
      <c r="D101" s="147" t="s">
        <v>151</v>
      </c>
      <c r="E101" s="147">
        <v>1</v>
      </c>
      <c r="F101" s="147"/>
      <c r="G101" s="147">
        <v>1</v>
      </c>
      <c r="H101" s="147">
        <v>1</v>
      </c>
      <c r="I101" s="63"/>
      <c r="J101" s="63"/>
      <c r="K101" s="139">
        <v>1929</v>
      </c>
      <c r="L101" s="147">
        <v>112</v>
      </c>
      <c r="M101" s="174"/>
    </row>
    <row r="102" spans="1:15" ht="15">
      <c r="A102" s="392" t="s">
        <v>190</v>
      </c>
      <c r="B102" s="393"/>
      <c r="C102" s="167"/>
      <c r="D102" s="84"/>
      <c r="E102" s="84">
        <f>SUM(E66:E101)</f>
        <v>36</v>
      </c>
      <c r="F102" s="84">
        <f>SUM(F66:F101)</f>
        <v>18</v>
      </c>
      <c r="G102" s="84">
        <f>SUM(G66:G101)</f>
        <v>18</v>
      </c>
      <c r="H102" s="84">
        <f>SUM(H66:H101)</f>
        <v>36</v>
      </c>
      <c r="I102" s="84">
        <f>SUM(I66:I101)</f>
        <v>0</v>
      </c>
      <c r="J102" s="84"/>
      <c r="K102" s="84"/>
      <c r="L102" s="84">
        <f>SUM(L66:L101)</f>
        <v>3618</v>
      </c>
      <c r="M102" s="255">
        <f>239551.11-4572-47.12</f>
        <v>234931.99</v>
      </c>
      <c r="N102" s="133"/>
      <c r="O102" s="126"/>
    </row>
    <row r="103" spans="1:13" ht="15" customHeight="1">
      <c r="A103" s="357"/>
      <c r="B103" s="358"/>
      <c r="C103" s="359"/>
      <c r="D103" s="147" t="s">
        <v>142</v>
      </c>
      <c r="E103" s="147">
        <v>1</v>
      </c>
      <c r="F103" s="147"/>
      <c r="G103" s="147">
        <v>1</v>
      </c>
      <c r="H103" s="147">
        <v>1</v>
      </c>
      <c r="I103" s="63"/>
      <c r="J103" s="63"/>
      <c r="K103" s="139">
        <v>1931</v>
      </c>
      <c r="L103" s="147">
        <v>16</v>
      </c>
      <c r="M103" s="174"/>
    </row>
    <row r="104" spans="1:13" ht="15" customHeight="1">
      <c r="A104" s="357"/>
      <c r="B104" s="358"/>
      <c r="C104" s="359"/>
      <c r="D104" s="147" t="s">
        <v>142</v>
      </c>
      <c r="E104" s="147">
        <v>1</v>
      </c>
      <c r="F104" s="147"/>
      <c r="G104" s="147">
        <v>1</v>
      </c>
      <c r="H104" s="147">
        <v>1</v>
      </c>
      <c r="I104" s="63"/>
      <c r="J104" s="63"/>
      <c r="K104" s="139">
        <v>1927</v>
      </c>
      <c r="L104" s="147">
        <v>4</v>
      </c>
      <c r="M104" s="174"/>
    </row>
    <row r="105" spans="1:13" ht="15" customHeight="1">
      <c r="A105" s="357"/>
      <c r="B105" s="358"/>
      <c r="C105" s="359"/>
      <c r="D105" s="147" t="s">
        <v>142</v>
      </c>
      <c r="E105" s="147">
        <v>1</v>
      </c>
      <c r="F105" s="147">
        <v>1</v>
      </c>
      <c r="G105" s="147"/>
      <c r="H105" s="147">
        <v>1</v>
      </c>
      <c r="I105" s="63"/>
      <c r="J105" s="63"/>
      <c r="K105" s="139">
        <v>1936</v>
      </c>
      <c r="L105" s="147">
        <v>231</v>
      </c>
      <c r="M105" s="174"/>
    </row>
    <row r="106" spans="1:13" ht="15" customHeight="1">
      <c r="A106" s="357"/>
      <c r="B106" s="358"/>
      <c r="C106" s="359"/>
      <c r="D106" s="147" t="s">
        <v>142</v>
      </c>
      <c r="E106" s="147">
        <v>1</v>
      </c>
      <c r="F106" s="147">
        <v>1</v>
      </c>
      <c r="G106" s="147"/>
      <c r="H106" s="147">
        <v>1</v>
      </c>
      <c r="I106" s="63"/>
      <c r="J106" s="63"/>
      <c r="K106" s="139">
        <v>1922</v>
      </c>
      <c r="L106" s="147">
        <v>53</v>
      </c>
      <c r="M106" s="174"/>
    </row>
    <row r="107" spans="1:13" ht="15" customHeight="1">
      <c r="A107" s="357"/>
      <c r="B107" s="358"/>
      <c r="C107" s="359"/>
      <c r="D107" s="147" t="s">
        <v>142</v>
      </c>
      <c r="E107" s="147">
        <v>1</v>
      </c>
      <c r="F107" s="147">
        <v>1</v>
      </c>
      <c r="G107" s="147"/>
      <c r="H107" s="147">
        <v>1</v>
      </c>
      <c r="I107" s="63"/>
      <c r="J107" s="63"/>
      <c r="K107" s="139">
        <v>1942</v>
      </c>
      <c r="L107" s="147">
        <v>68</v>
      </c>
      <c r="M107" s="174"/>
    </row>
    <row r="108" spans="1:13" ht="15" customHeight="1">
      <c r="A108" s="357"/>
      <c r="B108" s="358"/>
      <c r="C108" s="359"/>
      <c r="D108" s="147" t="s">
        <v>142</v>
      </c>
      <c r="E108" s="147">
        <v>1</v>
      </c>
      <c r="F108" s="147">
        <v>1</v>
      </c>
      <c r="G108" s="147"/>
      <c r="H108" s="147">
        <v>1</v>
      </c>
      <c r="I108" s="63"/>
      <c r="J108" s="63"/>
      <c r="K108" s="139">
        <v>1920</v>
      </c>
      <c r="L108" s="147">
        <v>1</v>
      </c>
      <c r="M108" s="174"/>
    </row>
    <row r="109" spans="1:13" ht="15" customHeight="1">
      <c r="A109" s="357"/>
      <c r="B109" s="358"/>
      <c r="C109" s="359"/>
      <c r="D109" s="147" t="s">
        <v>142</v>
      </c>
      <c r="E109" s="147">
        <v>1</v>
      </c>
      <c r="F109" s="147">
        <v>1</v>
      </c>
      <c r="G109" s="147"/>
      <c r="H109" s="147">
        <v>1</v>
      </c>
      <c r="I109" s="63"/>
      <c r="J109" s="63"/>
      <c r="K109" s="139">
        <v>1922</v>
      </c>
      <c r="L109" s="147">
        <v>85</v>
      </c>
      <c r="M109" s="174"/>
    </row>
    <row r="110" spans="1:13" ht="15" customHeight="1">
      <c r="A110" s="357"/>
      <c r="B110" s="358"/>
      <c r="C110" s="359"/>
      <c r="D110" s="147" t="s">
        <v>142</v>
      </c>
      <c r="E110" s="147">
        <v>1</v>
      </c>
      <c r="F110" s="147"/>
      <c r="G110" s="147">
        <v>1</v>
      </c>
      <c r="H110" s="147">
        <v>1</v>
      </c>
      <c r="I110" s="63"/>
      <c r="J110" s="63"/>
      <c r="K110" s="139">
        <v>1922</v>
      </c>
      <c r="L110" s="147">
        <v>42</v>
      </c>
      <c r="M110" s="174"/>
    </row>
    <row r="111" spans="1:13" ht="15" customHeight="1">
      <c r="A111" s="357"/>
      <c r="B111" s="358"/>
      <c r="C111" s="359"/>
      <c r="D111" s="147" t="s">
        <v>142</v>
      </c>
      <c r="E111" s="147">
        <v>1</v>
      </c>
      <c r="F111" s="147">
        <v>1</v>
      </c>
      <c r="G111" s="147"/>
      <c r="H111" s="147">
        <v>1</v>
      </c>
      <c r="I111" s="63"/>
      <c r="J111" s="63"/>
      <c r="K111" s="139">
        <v>1935</v>
      </c>
      <c r="L111" s="147">
        <v>27</v>
      </c>
      <c r="M111" s="174"/>
    </row>
    <row r="112" spans="1:13" ht="15" customHeight="1">
      <c r="A112" s="357"/>
      <c r="B112" s="358"/>
      <c r="C112" s="359"/>
      <c r="D112" s="147" t="s">
        <v>142</v>
      </c>
      <c r="E112" s="147">
        <v>1</v>
      </c>
      <c r="F112" s="147">
        <v>1</v>
      </c>
      <c r="G112" s="147"/>
      <c r="H112" s="147">
        <v>1</v>
      </c>
      <c r="I112" s="63"/>
      <c r="J112" s="63"/>
      <c r="K112" s="139">
        <v>1935</v>
      </c>
      <c r="L112" s="147">
        <v>58</v>
      </c>
      <c r="M112" s="174"/>
    </row>
    <row r="113" spans="1:13" ht="15" customHeight="1">
      <c r="A113" s="357"/>
      <c r="B113" s="358"/>
      <c r="C113" s="359"/>
      <c r="D113" s="147" t="s">
        <v>142</v>
      </c>
      <c r="E113" s="147">
        <v>1</v>
      </c>
      <c r="F113" s="147">
        <v>1</v>
      </c>
      <c r="G113" s="147"/>
      <c r="H113" s="147">
        <v>1</v>
      </c>
      <c r="I113" s="63"/>
      <c r="J113" s="63"/>
      <c r="K113" s="139">
        <v>1916</v>
      </c>
      <c r="L113" s="147">
        <v>125</v>
      </c>
      <c r="M113" s="174"/>
    </row>
    <row r="114" spans="1:13" ht="15" customHeight="1">
      <c r="A114" s="357"/>
      <c r="B114" s="358"/>
      <c r="C114" s="359"/>
      <c r="D114" s="147" t="s">
        <v>142</v>
      </c>
      <c r="E114" s="147">
        <v>1</v>
      </c>
      <c r="F114" s="147"/>
      <c r="G114" s="147">
        <v>1</v>
      </c>
      <c r="H114" s="147">
        <v>1</v>
      </c>
      <c r="I114" s="63"/>
      <c r="J114" s="63"/>
      <c r="K114" s="139">
        <v>1946</v>
      </c>
      <c r="L114" s="147">
        <v>241</v>
      </c>
      <c r="M114" s="174"/>
    </row>
    <row r="115" spans="1:13" ht="15" customHeight="1">
      <c r="A115" s="357"/>
      <c r="B115" s="358"/>
      <c r="C115" s="359"/>
      <c r="D115" s="147" t="s">
        <v>142</v>
      </c>
      <c r="E115" s="147">
        <v>1</v>
      </c>
      <c r="F115" s="147"/>
      <c r="G115" s="147">
        <v>1</v>
      </c>
      <c r="H115" s="147">
        <v>1</v>
      </c>
      <c r="I115" s="63"/>
      <c r="J115" s="63"/>
      <c r="K115" s="139">
        <v>1923</v>
      </c>
      <c r="L115" s="147">
        <v>25</v>
      </c>
      <c r="M115" s="174"/>
    </row>
    <row r="116" spans="1:13" ht="15" customHeight="1">
      <c r="A116" s="357"/>
      <c r="B116" s="358"/>
      <c r="C116" s="359"/>
      <c r="D116" s="147" t="s">
        <v>142</v>
      </c>
      <c r="E116" s="147">
        <v>1</v>
      </c>
      <c r="F116" s="147">
        <v>1</v>
      </c>
      <c r="G116" s="147"/>
      <c r="H116" s="147">
        <v>1</v>
      </c>
      <c r="I116" s="63"/>
      <c r="J116" s="63"/>
      <c r="K116" s="139">
        <v>1934</v>
      </c>
      <c r="L116" s="96">
        <v>133</v>
      </c>
      <c r="M116" s="174"/>
    </row>
    <row r="117" spans="1:13" ht="15" customHeight="1">
      <c r="A117" s="357"/>
      <c r="B117" s="358"/>
      <c r="C117" s="359"/>
      <c r="D117" s="147" t="s">
        <v>142</v>
      </c>
      <c r="E117" s="147">
        <v>1</v>
      </c>
      <c r="F117" s="147"/>
      <c r="G117" s="147">
        <v>1</v>
      </c>
      <c r="H117" s="147">
        <v>1</v>
      </c>
      <c r="I117" s="63"/>
      <c r="J117" s="63"/>
      <c r="K117" s="139">
        <v>1926</v>
      </c>
      <c r="L117" s="96">
        <v>134</v>
      </c>
      <c r="M117" s="174"/>
    </row>
    <row r="118" spans="1:13" ht="15" customHeight="1">
      <c r="A118" s="357"/>
      <c r="B118" s="358"/>
      <c r="C118" s="359"/>
      <c r="D118" s="147" t="s">
        <v>142</v>
      </c>
      <c r="E118" s="147">
        <v>1</v>
      </c>
      <c r="F118" s="147">
        <v>1</v>
      </c>
      <c r="G118" s="147"/>
      <c r="H118" s="147">
        <v>1</v>
      </c>
      <c r="I118" s="63"/>
      <c r="J118" s="63"/>
      <c r="K118" s="139">
        <v>1917</v>
      </c>
      <c r="L118" s="96">
        <v>98</v>
      </c>
      <c r="M118" s="174"/>
    </row>
    <row r="119" spans="1:13" ht="15" customHeight="1">
      <c r="A119" s="357"/>
      <c r="B119" s="358"/>
      <c r="C119" s="359"/>
      <c r="D119" s="147" t="s">
        <v>142</v>
      </c>
      <c r="E119" s="147">
        <v>1</v>
      </c>
      <c r="F119" s="147"/>
      <c r="G119" s="147">
        <v>1</v>
      </c>
      <c r="H119" s="147">
        <v>1</v>
      </c>
      <c r="I119" s="63"/>
      <c r="J119" s="63"/>
      <c r="K119" s="139">
        <v>1929</v>
      </c>
      <c r="L119" s="96">
        <v>172</v>
      </c>
      <c r="M119" s="174"/>
    </row>
    <row r="120" spans="1:13" ht="15" customHeight="1">
      <c r="A120" s="357"/>
      <c r="B120" s="358"/>
      <c r="C120" s="359"/>
      <c r="D120" s="147" t="s">
        <v>142</v>
      </c>
      <c r="E120" s="147">
        <v>1</v>
      </c>
      <c r="F120" s="147"/>
      <c r="G120" s="147">
        <v>1</v>
      </c>
      <c r="H120" s="147">
        <v>1</v>
      </c>
      <c r="I120" s="63"/>
      <c r="J120" s="63"/>
      <c r="K120" s="139">
        <v>1933</v>
      </c>
      <c r="L120" s="96">
        <v>205</v>
      </c>
      <c r="M120" s="174"/>
    </row>
    <row r="121" spans="1:13" ht="15" customHeight="1">
      <c r="A121" s="357"/>
      <c r="B121" s="358"/>
      <c r="C121" s="359"/>
      <c r="D121" s="147" t="s">
        <v>142</v>
      </c>
      <c r="E121" s="147">
        <v>1</v>
      </c>
      <c r="F121" s="147"/>
      <c r="G121" s="147">
        <v>1</v>
      </c>
      <c r="H121" s="147">
        <v>1</v>
      </c>
      <c r="I121" s="63"/>
      <c r="J121" s="63"/>
      <c r="K121" s="139">
        <v>1942</v>
      </c>
      <c r="L121" s="96">
        <v>4</v>
      </c>
      <c r="M121" s="174"/>
    </row>
    <row r="122" spans="1:13" ht="15" customHeight="1">
      <c r="A122" s="357"/>
      <c r="B122" s="358"/>
      <c r="C122" s="359"/>
      <c r="D122" s="147" t="s">
        <v>142</v>
      </c>
      <c r="E122" s="147">
        <v>1</v>
      </c>
      <c r="F122" s="147">
        <v>1</v>
      </c>
      <c r="G122" s="147"/>
      <c r="H122" s="147">
        <v>1</v>
      </c>
      <c r="I122" s="63"/>
      <c r="J122" s="63"/>
      <c r="K122" s="139">
        <v>1924</v>
      </c>
      <c r="L122" s="96">
        <v>77</v>
      </c>
      <c r="M122" s="174"/>
    </row>
    <row r="123" spans="1:13" ht="15" customHeight="1">
      <c r="A123" s="357"/>
      <c r="B123" s="358"/>
      <c r="C123" s="359"/>
      <c r="D123" s="147" t="s">
        <v>142</v>
      </c>
      <c r="E123" s="147">
        <v>1</v>
      </c>
      <c r="F123" s="147">
        <v>1</v>
      </c>
      <c r="G123" s="147"/>
      <c r="H123" s="147">
        <v>1</v>
      </c>
      <c r="I123" s="63"/>
      <c r="J123" s="63"/>
      <c r="K123" s="139">
        <v>1921</v>
      </c>
      <c r="L123" s="96">
        <v>43</v>
      </c>
      <c r="M123" s="174"/>
    </row>
    <row r="124" spans="1:13" ht="15" customHeight="1">
      <c r="A124" s="357"/>
      <c r="B124" s="358"/>
      <c r="C124" s="359"/>
      <c r="D124" s="147" t="s">
        <v>142</v>
      </c>
      <c r="E124" s="147">
        <v>1</v>
      </c>
      <c r="F124" s="147"/>
      <c r="G124" s="147">
        <v>1</v>
      </c>
      <c r="H124" s="147">
        <v>1</v>
      </c>
      <c r="I124" s="63"/>
      <c r="J124" s="63"/>
      <c r="K124" s="139">
        <v>1925</v>
      </c>
      <c r="L124" s="96">
        <v>169</v>
      </c>
      <c r="M124" s="174"/>
    </row>
    <row r="125" spans="1:13" ht="15" customHeight="1">
      <c r="A125" s="357"/>
      <c r="B125" s="358"/>
      <c r="C125" s="359"/>
      <c r="D125" s="147" t="s">
        <v>142</v>
      </c>
      <c r="E125" s="147">
        <v>1</v>
      </c>
      <c r="F125" s="147"/>
      <c r="G125" s="147">
        <v>1</v>
      </c>
      <c r="H125" s="147">
        <v>1</v>
      </c>
      <c r="I125" s="63"/>
      <c r="J125" s="63"/>
      <c r="K125" s="139">
        <v>1925</v>
      </c>
      <c r="L125" s="96">
        <v>195</v>
      </c>
      <c r="M125" s="174"/>
    </row>
    <row r="126" spans="1:13" ht="15" customHeight="1">
      <c r="A126" s="357"/>
      <c r="B126" s="358"/>
      <c r="C126" s="359"/>
      <c r="D126" s="147" t="s">
        <v>142</v>
      </c>
      <c r="E126" s="147">
        <v>1</v>
      </c>
      <c r="F126" s="147"/>
      <c r="G126" s="147">
        <v>1</v>
      </c>
      <c r="H126" s="147">
        <v>1</v>
      </c>
      <c r="I126" s="63"/>
      <c r="J126" s="63"/>
      <c r="K126" s="139">
        <v>1942</v>
      </c>
      <c r="L126" s="96">
        <v>234</v>
      </c>
      <c r="M126" s="174"/>
    </row>
    <row r="127" spans="1:13" ht="15" customHeight="1">
      <c r="A127" s="357"/>
      <c r="B127" s="358"/>
      <c r="C127" s="359"/>
      <c r="D127" s="147" t="s">
        <v>142</v>
      </c>
      <c r="E127" s="147">
        <v>1</v>
      </c>
      <c r="F127" s="147">
        <v>1</v>
      </c>
      <c r="G127" s="147"/>
      <c r="H127" s="147">
        <v>1</v>
      </c>
      <c r="I127" s="63"/>
      <c r="J127" s="63"/>
      <c r="K127" s="139">
        <v>1916</v>
      </c>
      <c r="L127" s="96">
        <v>41</v>
      </c>
      <c r="M127" s="174"/>
    </row>
    <row r="128" spans="1:13" ht="15" customHeight="1">
      <c r="A128" s="357"/>
      <c r="B128" s="358"/>
      <c r="C128" s="359"/>
      <c r="D128" s="147" t="s">
        <v>142</v>
      </c>
      <c r="E128" s="147">
        <v>1</v>
      </c>
      <c r="F128" s="147">
        <v>1</v>
      </c>
      <c r="G128" s="147"/>
      <c r="H128" s="147">
        <v>1</v>
      </c>
      <c r="I128" s="63"/>
      <c r="J128" s="63"/>
      <c r="K128" s="139">
        <v>1920</v>
      </c>
      <c r="L128" s="96">
        <v>9</v>
      </c>
      <c r="M128" s="174"/>
    </row>
    <row r="129" spans="1:13" ht="15" customHeight="1">
      <c r="A129" s="357"/>
      <c r="B129" s="358"/>
      <c r="C129" s="359"/>
      <c r="D129" s="147" t="s">
        <v>142</v>
      </c>
      <c r="E129" s="147">
        <v>1</v>
      </c>
      <c r="F129" s="147"/>
      <c r="G129" s="147">
        <v>1</v>
      </c>
      <c r="H129" s="147">
        <v>1</v>
      </c>
      <c r="I129" s="63"/>
      <c r="J129" s="63"/>
      <c r="K129" s="139">
        <v>1917</v>
      </c>
      <c r="L129" s="96">
        <v>130</v>
      </c>
      <c r="M129" s="174"/>
    </row>
    <row r="130" spans="1:13" ht="15" customHeight="1">
      <c r="A130" s="357"/>
      <c r="B130" s="358"/>
      <c r="C130" s="359"/>
      <c r="D130" s="147" t="s">
        <v>142</v>
      </c>
      <c r="E130" s="147">
        <v>1</v>
      </c>
      <c r="F130" s="147"/>
      <c r="G130" s="147">
        <v>1</v>
      </c>
      <c r="H130" s="147">
        <v>1</v>
      </c>
      <c r="I130" s="63"/>
      <c r="J130" s="63"/>
      <c r="K130" s="139">
        <v>1926</v>
      </c>
      <c r="L130" s="96">
        <v>14</v>
      </c>
      <c r="M130" s="174"/>
    </row>
    <row r="131" spans="1:13" ht="15" customHeight="1">
      <c r="A131" s="357"/>
      <c r="B131" s="358"/>
      <c r="C131" s="359"/>
      <c r="D131" s="147" t="s">
        <v>142</v>
      </c>
      <c r="E131" s="147">
        <v>1</v>
      </c>
      <c r="F131" s="147"/>
      <c r="G131" s="147">
        <v>1</v>
      </c>
      <c r="H131" s="147">
        <v>1</v>
      </c>
      <c r="I131" s="63"/>
      <c r="J131" s="63"/>
      <c r="K131" s="139">
        <v>1929</v>
      </c>
      <c r="L131" s="96">
        <v>131</v>
      </c>
      <c r="M131" s="174"/>
    </row>
    <row r="132" spans="1:13" ht="15" customHeight="1">
      <c r="A132" s="357"/>
      <c r="B132" s="358"/>
      <c r="C132" s="359"/>
      <c r="D132" s="147" t="s">
        <v>142</v>
      </c>
      <c r="E132" s="147">
        <v>1</v>
      </c>
      <c r="F132" s="147">
        <v>1</v>
      </c>
      <c r="G132" s="147"/>
      <c r="H132" s="147">
        <v>1</v>
      </c>
      <c r="I132" s="63"/>
      <c r="J132" s="63"/>
      <c r="K132" s="139">
        <v>1929</v>
      </c>
      <c r="L132" s="96">
        <v>234</v>
      </c>
      <c r="M132" s="174"/>
    </row>
    <row r="133" spans="1:13" ht="15" customHeight="1">
      <c r="A133" s="357"/>
      <c r="B133" s="358"/>
      <c r="C133" s="359"/>
      <c r="D133" s="147" t="s">
        <v>142</v>
      </c>
      <c r="E133" s="147">
        <v>1</v>
      </c>
      <c r="F133" s="147"/>
      <c r="G133" s="147">
        <v>1</v>
      </c>
      <c r="H133" s="147">
        <v>1</v>
      </c>
      <c r="I133" s="63"/>
      <c r="J133" s="63"/>
      <c r="K133" s="139">
        <v>1918</v>
      </c>
      <c r="L133" s="96">
        <v>57</v>
      </c>
      <c r="M133" s="174"/>
    </row>
    <row r="134" spans="1:13" ht="15" customHeight="1">
      <c r="A134" s="357"/>
      <c r="B134" s="358"/>
      <c r="C134" s="359"/>
      <c r="D134" s="147" t="s">
        <v>142</v>
      </c>
      <c r="E134" s="147">
        <v>1</v>
      </c>
      <c r="F134" s="147"/>
      <c r="G134" s="147">
        <v>1</v>
      </c>
      <c r="H134" s="147">
        <v>1</v>
      </c>
      <c r="I134" s="63"/>
      <c r="J134" s="63"/>
      <c r="K134" s="139">
        <v>1954</v>
      </c>
      <c r="L134" s="96">
        <v>232</v>
      </c>
      <c r="M134" s="174"/>
    </row>
    <row r="135" spans="1:13" ht="15" customHeight="1">
      <c r="A135" s="357"/>
      <c r="B135" s="358"/>
      <c r="C135" s="359"/>
      <c r="D135" s="147" t="s">
        <v>142</v>
      </c>
      <c r="E135" s="147">
        <v>1</v>
      </c>
      <c r="F135" s="147">
        <v>1</v>
      </c>
      <c r="G135" s="147"/>
      <c r="H135" s="147">
        <v>1</v>
      </c>
      <c r="I135" s="63"/>
      <c r="J135" s="63"/>
      <c r="K135" s="139">
        <v>1927</v>
      </c>
      <c r="L135" s="96">
        <v>154</v>
      </c>
      <c r="M135" s="174"/>
    </row>
    <row r="136" spans="1:13" ht="15" customHeight="1">
      <c r="A136" s="357"/>
      <c r="B136" s="358"/>
      <c r="C136" s="359"/>
      <c r="D136" s="147" t="s">
        <v>142</v>
      </c>
      <c r="E136" s="147">
        <v>1</v>
      </c>
      <c r="F136" s="147"/>
      <c r="G136" s="147">
        <v>1</v>
      </c>
      <c r="H136" s="147">
        <v>1</v>
      </c>
      <c r="I136" s="63"/>
      <c r="J136" s="63"/>
      <c r="K136" s="139">
        <v>1922</v>
      </c>
      <c r="L136" s="96">
        <v>65</v>
      </c>
      <c r="M136" s="174"/>
    </row>
    <row r="137" spans="1:13" ht="15" customHeight="1">
      <c r="A137" s="357"/>
      <c r="B137" s="358"/>
      <c r="C137" s="359"/>
      <c r="D137" s="147" t="s">
        <v>142</v>
      </c>
      <c r="E137" s="147">
        <v>1</v>
      </c>
      <c r="F137" s="147"/>
      <c r="G137" s="147">
        <v>1</v>
      </c>
      <c r="H137" s="147">
        <v>1</v>
      </c>
      <c r="I137" s="63"/>
      <c r="J137" s="63"/>
      <c r="K137" s="139">
        <v>1922</v>
      </c>
      <c r="L137" s="96">
        <v>146</v>
      </c>
      <c r="M137" s="174"/>
    </row>
    <row r="138" spans="1:13" ht="15" customHeight="1">
      <c r="A138" s="357"/>
      <c r="B138" s="358"/>
      <c r="C138" s="359"/>
      <c r="D138" s="147" t="s">
        <v>142</v>
      </c>
      <c r="E138" s="147">
        <v>1</v>
      </c>
      <c r="F138" s="147">
        <v>1</v>
      </c>
      <c r="G138" s="147"/>
      <c r="H138" s="147">
        <v>1</v>
      </c>
      <c r="I138" s="63"/>
      <c r="J138" s="63"/>
      <c r="K138" s="139">
        <v>1924</v>
      </c>
      <c r="L138" s="96">
        <v>33</v>
      </c>
      <c r="M138" s="174"/>
    </row>
    <row r="139" spans="1:13" ht="15" customHeight="1">
      <c r="A139" s="357"/>
      <c r="B139" s="358"/>
      <c r="C139" s="359"/>
      <c r="D139" s="147" t="s">
        <v>142</v>
      </c>
      <c r="E139" s="147">
        <v>1</v>
      </c>
      <c r="F139" s="147"/>
      <c r="G139" s="147">
        <v>1</v>
      </c>
      <c r="H139" s="147">
        <v>1</v>
      </c>
      <c r="I139" s="63"/>
      <c r="J139" s="63"/>
      <c r="K139" s="139">
        <v>1933</v>
      </c>
      <c r="L139" s="96">
        <v>141</v>
      </c>
      <c r="M139" s="174"/>
    </row>
    <row r="140" spans="1:13" ht="15" customHeight="1">
      <c r="A140" s="357"/>
      <c r="B140" s="358"/>
      <c r="C140" s="359"/>
      <c r="D140" s="147" t="s">
        <v>142</v>
      </c>
      <c r="E140" s="147">
        <v>1</v>
      </c>
      <c r="F140" s="147"/>
      <c r="G140" s="147">
        <v>1</v>
      </c>
      <c r="H140" s="147">
        <v>1</v>
      </c>
      <c r="I140" s="63"/>
      <c r="J140" s="63"/>
      <c r="K140" s="139">
        <v>1934</v>
      </c>
      <c r="L140" s="96">
        <v>9</v>
      </c>
      <c r="M140" s="174"/>
    </row>
    <row r="141" spans="1:13" ht="15" customHeight="1">
      <c r="A141" s="357"/>
      <c r="B141" s="358"/>
      <c r="C141" s="359"/>
      <c r="D141" s="147" t="s">
        <v>142</v>
      </c>
      <c r="E141" s="147">
        <v>1</v>
      </c>
      <c r="F141" s="147">
        <v>1</v>
      </c>
      <c r="G141" s="147"/>
      <c r="H141" s="147">
        <v>1</v>
      </c>
      <c r="I141" s="63"/>
      <c r="J141" s="63"/>
      <c r="K141" s="139">
        <v>1924</v>
      </c>
      <c r="L141" s="96">
        <v>92</v>
      </c>
      <c r="M141" s="174"/>
    </row>
    <row r="142" spans="1:13" ht="15" customHeight="1">
      <c r="A142" s="357"/>
      <c r="B142" s="358"/>
      <c r="C142" s="359"/>
      <c r="D142" s="147" t="s">
        <v>142</v>
      </c>
      <c r="E142" s="147">
        <v>1</v>
      </c>
      <c r="F142" s="147"/>
      <c r="G142" s="147">
        <v>1</v>
      </c>
      <c r="H142" s="147">
        <v>1</v>
      </c>
      <c r="I142" s="63"/>
      <c r="J142" s="63"/>
      <c r="K142" s="139">
        <v>1954</v>
      </c>
      <c r="L142" s="96">
        <v>21</v>
      </c>
      <c r="M142" s="174"/>
    </row>
    <row r="143" spans="1:13" ht="15" customHeight="1">
      <c r="A143" s="357"/>
      <c r="B143" s="358"/>
      <c r="C143" s="359"/>
      <c r="D143" s="147" t="s">
        <v>142</v>
      </c>
      <c r="E143" s="147">
        <v>1</v>
      </c>
      <c r="F143" s="147"/>
      <c r="G143" s="147">
        <v>1</v>
      </c>
      <c r="H143" s="147">
        <v>1</v>
      </c>
      <c r="I143" s="63"/>
      <c r="J143" s="63"/>
      <c r="K143" s="139">
        <v>1921</v>
      </c>
      <c r="L143" s="96">
        <v>217</v>
      </c>
      <c r="M143" s="174"/>
    </row>
    <row r="144" spans="1:13" ht="15" customHeight="1">
      <c r="A144" s="357"/>
      <c r="B144" s="358"/>
      <c r="C144" s="359"/>
      <c r="D144" s="147" t="s">
        <v>142</v>
      </c>
      <c r="E144" s="147">
        <v>1</v>
      </c>
      <c r="F144" s="147"/>
      <c r="G144" s="147">
        <v>1</v>
      </c>
      <c r="H144" s="147">
        <v>1</v>
      </c>
      <c r="I144" s="63"/>
      <c r="J144" s="63"/>
      <c r="K144" s="139">
        <v>1931</v>
      </c>
      <c r="L144" s="96">
        <v>87</v>
      </c>
      <c r="M144" s="174"/>
    </row>
    <row r="145" spans="1:13" ht="15" customHeight="1">
      <c r="A145" s="357"/>
      <c r="B145" s="358"/>
      <c r="C145" s="359"/>
      <c r="D145" s="147" t="s">
        <v>142</v>
      </c>
      <c r="E145" s="147">
        <v>1</v>
      </c>
      <c r="F145" s="147"/>
      <c r="G145" s="147">
        <v>1</v>
      </c>
      <c r="H145" s="147">
        <v>1</v>
      </c>
      <c r="I145" s="63"/>
      <c r="J145" s="63"/>
      <c r="K145" s="139">
        <v>1931</v>
      </c>
      <c r="L145" s="96">
        <v>96</v>
      </c>
      <c r="M145" s="174"/>
    </row>
    <row r="146" spans="1:13" ht="15" customHeight="1">
      <c r="A146" s="357"/>
      <c r="B146" s="358"/>
      <c r="C146" s="359"/>
      <c r="D146" s="147" t="s">
        <v>142</v>
      </c>
      <c r="E146" s="147">
        <v>1</v>
      </c>
      <c r="F146" s="147"/>
      <c r="G146" s="147">
        <v>1</v>
      </c>
      <c r="H146" s="147">
        <v>1</v>
      </c>
      <c r="I146" s="63"/>
      <c r="J146" s="63"/>
      <c r="K146" s="139">
        <v>1926</v>
      </c>
      <c r="L146" s="96">
        <v>69</v>
      </c>
      <c r="M146" s="174"/>
    </row>
    <row r="147" spans="1:13" ht="15" customHeight="1">
      <c r="A147" s="357"/>
      <c r="B147" s="358"/>
      <c r="C147" s="359"/>
      <c r="D147" s="147" t="s">
        <v>142</v>
      </c>
      <c r="E147" s="147">
        <v>1</v>
      </c>
      <c r="F147" s="147"/>
      <c r="G147" s="147">
        <v>1</v>
      </c>
      <c r="H147" s="147">
        <v>1</v>
      </c>
      <c r="I147" s="63"/>
      <c r="J147" s="63"/>
      <c r="K147" s="139">
        <v>1937</v>
      </c>
      <c r="L147" s="96">
        <v>4</v>
      </c>
      <c r="M147" s="174"/>
    </row>
    <row r="148" spans="1:13" ht="15" customHeight="1">
      <c r="A148" s="357"/>
      <c r="B148" s="358"/>
      <c r="C148" s="359"/>
      <c r="D148" s="147" t="s">
        <v>142</v>
      </c>
      <c r="E148" s="147">
        <v>1</v>
      </c>
      <c r="F148" s="147"/>
      <c r="G148" s="147">
        <v>1</v>
      </c>
      <c r="H148" s="147">
        <v>1</v>
      </c>
      <c r="I148" s="63"/>
      <c r="J148" s="63"/>
      <c r="K148" s="139">
        <v>1922</v>
      </c>
      <c r="L148" s="96">
        <v>131</v>
      </c>
      <c r="M148" s="174"/>
    </row>
    <row r="149" spans="1:13" ht="15" customHeight="1">
      <c r="A149" s="357"/>
      <c r="B149" s="358"/>
      <c r="C149" s="359"/>
      <c r="D149" s="147" t="s">
        <v>142</v>
      </c>
      <c r="E149" s="147">
        <v>1</v>
      </c>
      <c r="F149" s="147"/>
      <c r="G149" s="147">
        <v>1</v>
      </c>
      <c r="H149" s="147">
        <v>1</v>
      </c>
      <c r="I149" s="63"/>
      <c r="J149" s="63"/>
      <c r="K149" s="139">
        <v>1929</v>
      </c>
      <c r="L149" s="96">
        <v>207</v>
      </c>
      <c r="M149" s="178"/>
    </row>
    <row r="150" spans="1:15" ht="15">
      <c r="A150" s="392" t="s">
        <v>191</v>
      </c>
      <c r="B150" s="393"/>
      <c r="C150" s="167"/>
      <c r="D150" s="84"/>
      <c r="E150" s="84">
        <f>SUM(E103:E149)</f>
        <v>47</v>
      </c>
      <c r="F150" s="84">
        <f>SUM(F103:F149)</f>
        <v>18</v>
      </c>
      <c r="G150" s="84">
        <f>SUM(G103:G149)</f>
        <v>29</v>
      </c>
      <c r="H150" s="84">
        <f>SUM(H103:H149)</f>
        <v>47</v>
      </c>
      <c r="I150" s="84">
        <f>SUM(I103:I149)</f>
        <v>0</v>
      </c>
      <c r="J150" s="84"/>
      <c r="K150" s="84"/>
      <c r="L150" s="84">
        <f>SUM(L103:L149)</f>
        <v>4760</v>
      </c>
      <c r="M150" s="255">
        <v>73117.59</v>
      </c>
      <c r="N150" s="133"/>
      <c r="O150" s="179"/>
    </row>
    <row r="151" spans="1:13" s="133" customFormat="1" ht="15" customHeight="1">
      <c r="A151" s="374" t="s">
        <v>94</v>
      </c>
      <c r="B151" s="374"/>
      <c r="C151" s="84"/>
      <c r="D151" s="143"/>
      <c r="E151" s="143">
        <f>E102+E150</f>
        <v>83</v>
      </c>
      <c r="F151" s="143">
        <f>F102+F150</f>
        <v>36</v>
      </c>
      <c r="G151" s="143">
        <f>G102+G150</f>
        <v>47</v>
      </c>
      <c r="H151" s="143">
        <f>H102+H150</f>
        <v>83</v>
      </c>
      <c r="I151" s="143">
        <f>I102+I150</f>
        <v>0</v>
      </c>
      <c r="J151" s="143"/>
      <c r="K151" s="143"/>
      <c r="L151" s="143">
        <f>L102+L150</f>
        <v>8378</v>
      </c>
      <c r="M151" s="176">
        <f>M102+M150</f>
        <v>308049.57999999996</v>
      </c>
    </row>
    <row r="152" spans="1:14" s="87" customFormat="1" ht="15.75">
      <c r="A152" s="381" t="s">
        <v>83</v>
      </c>
      <c r="B152" s="381"/>
      <c r="C152" s="48"/>
      <c r="D152" s="48"/>
      <c r="E152" s="48"/>
      <c r="F152" s="48"/>
      <c r="G152" s="48"/>
      <c r="H152" s="48"/>
      <c r="I152" s="48"/>
      <c r="J152" s="48"/>
      <c r="K152" s="48"/>
      <c r="L152" s="171"/>
      <c r="M152" s="171"/>
      <c r="N152" s="133"/>
    </row>
    <row r="153" spans="1:14" s="173" customFormat="1" ht="30" customHeight="1">
      <c r="A153" s="52" t="s">
        <v>5</v>
      </c>
      <c r="B153" s="52" t="s">
        <v>1</v>
      </c>
      <c r="C153" s="52" t="s">
        <v>3</v>
      </c>
      <c r="D153" s="52" t="s">
        <v>12</v>
      </c>
      <c r="E153" s="52" t="s">
        <v>120</v>
      </c>
      <c r="F153" s="52" t="s">
        <v>90</v>
      </c>
      <c r="G153" s="52" t="s">
        <v>91</v>
      </c>
      <c r="H153" s="52" t="s">
        <v>140</v>
      </c>
      <c r="I153" s="52" t="s">
        <v>127</v>
      </c>
      <c r="J153" s="52" t="s">
        <v>159</v>
      </c>
      <c r="K153" s="52" t="s">
        <v>119</v>
      </c>
      <c r="L153" s="52" t="s">
        <v>125</v>
      </c>
      <c r="M153" s="52" t="s">
        <v>195</v>
      </c>
      <c r="N153" s="172"/>
    </row>
    <row r="154" spans="1:13" ht="15">
      <c r="A154" s="357"/>
      <c r="B154" s="358"/>
      <c r="C154" s="359"/>
      <c r="D154" s="147" t="s">
        <v>56</v>
      </c>
      <c r="E154" s="147">
        <v>1</v>
      </c>
      <c r="F154" s="147"/>
      <c r="G154" s="147">
        <v>1</v>
      </c>
      <c r="H154" s="147">
        <v>1</v>
      </c>
      <c r="I154" s="63"/>
      <c r="J154" s="63"/>
      <c r="K154" s="139">
        <v>1930</v>
      </c>
      <c r="L154" s="96">
        <v>122</v>
      </c>
      <c r="M154" s="178"/>
    </row>
    <row r="155" spans="1:13" s="172" customFormat="1" ht="15" customHeight="1">
      <c r="A155" s="357"/>
      <c r="B155" s="358"/>
      <c r="C155" s="359"/>
      <c r="D155" s="147" t="s">
        <v>56</v>
      </c>
      <c r="E155" s="147">
        <v>1</v>
      </c>
      <c r="F155" s="147"/>
      <c r="G155" s="147">
        <v>1</v>
      </c>
      <c r="H155" s="147">
        <v>1</v>
      </c>
      <c r="I155" s="64"/>
      <c r="J155" s="64"/>
      <c r="K155" s="139">
        <v>1930</v>
      </c>
      <c r="L155" s="96">
        <v>254</v>
      </c>
      <c r="M155" s="53"/>
    </row>
    <row r="156" spans="1:13" s="172" customFormat="1" ht="15" customHeight="1">
      <c r="A156" s="357"/>
      <c r="B156" s="358"/>
      <c r="C156" s="359"/>
      <c r="D156" s="147" t="s">
        <v>56</v>
      </c>
      <c r="E156" s="147">
        <v>1</v>
      </c>
      <c r="F156" s="147"/>
      <c r="G156" s="147">
        <v>1</v>
      </c>
      <c r="H156" s="147">
        <v>1</v>
      </c>
      <c r="I156" s="64"/>
      <c r="J156" s="64"/>
      <c r="K156" s="139">
        <v>1920</v>
      </c>
      <c r="L156" s="96">
        <v>98</v>
      </c>
      <c r="M156" s="53"/>
    </row>
    <row r="157" spans="1:13" ht="15">
      <c r="A157" s="357"/>
      <c r="B157" s="358"/>
      <c r="C157" s="359"/>
      <c r="D157" s="147" t="s">
        <v>56</v>
      </c>
      <c r="E157" s="147">
        <v>1</v>
      </c>
      <c r="F157" s="147">
        <v>1</v>
      </c>
      <c r="G157" s="147"/>
      <c r="H157" s="147">
        <v>1</v>
      </c>
      <c r="I157" s="63"/>
      <c r="J157" s="63"/>
      <c r="K157" s="139">
        <v>1936</v>
      </c>
      <c r="L157" s="96">
        <v>1</v>
      </c>
      <c r="M157" s="178"/>
    </row>
    <row r="158" spans="1:13" s="172" customFormat="1" ht="15" customHeight="1">
      <c r="A158" s="357"/>
      <c r="B158" s="358"/>
      <c r="C158" s="323"/>
      <c r="D158" s="147" t="s">
        <v>56</v>
      </c>
      <c r="E158" s="147">
        <v>1</v>
      </c>
      <c r="F158" s="147">
        <v>1</v>
      </c>
      <c r="G158" s="147"/>
      <c r="H158" s="147">
        <v>1</v>
      </c>
      <c r="I158" s="64"/>
      <c r="J158" s="64"/>
      <c r="K158" s="139">
        <v>1924</v>
      </c>
      <c r="L158" s="96">
        <v>154</v>
      </c>
      <c r="M158" s="53"/>
    </row>
    <row r="159" spans="1:13" ht="15" customHeight="1">
      <c r="A159" s="357"/>
      <c r="B159" s="358"/>
      <c r="C159" s="359"/>
      <c r="D159" s="147" t="s">
        <v>56</v>
      </c>
      <c r="E159" s="147">
        <v>1</v>
      </c>
      <c r="F159" s="147"/>
      <c r="G159" s="147">
        <v>1</v>
      </c>
      <c r="H159" s="147">
        <v>1</v>
      </c>
      <c r="I159" s="63"/>
      <c r="J159" s="63"/>
      <c r="K159" s="139">
        <v>1924</v>
      </c>
      <c r="L159" s="96">
        <v>140</v>
      </c>
      <c r="M159" s="53"/>
    </row>
    <row r="160" spans="1:13" ht="15" customHeight="1">
      <c r="A160" s="357"/>
      <c r="B160" s="358"/>
      <c r="C160" s="359"/>
      <c r="D160" s="147" t="s">
        <v>56</v>
      </c>
      <c r="E160" s="147">
        <v>1</v>
      </c>
      <c r="F160" s="147"/>
      <c r="G160" s="147">
        <v>1</v>
      </c>
      <c r="H160" s="147">
        <v>1</v>
      </c>
      <c r="I160" s="63"/>
      <c r="J160" s="63"/>
      <c r="K160" s="139">
        <v>1926</v>
      </c>
      <c r="L160" s="96">
        <v>128</v>
      </c>
      <c r="M160" s="53"/>
    </row>
    <row r="161" spans="1:13" ht="15">
      <c r="A161" s="357"/>
      <c r="B161" s="358"/>
      <c r="C161" s="359"/>
      <c r="D161" s="147" t="s">
        <v>56</v>
      </c>
      <c r="E161" s="147">
        <v>1</v>
      </c>
      <c r="F161" s="147">
        <v>1</v>
      </c>
      <c r="G161" s="147"/>
      <c r="H161" s="147">
        <v>1</v>
      </c>
      <c r="I161" s="63"/>
      <c r="J161" s="63"/>
      <c r="K161" s="139">
        <v>1929</v>
      </c>
      <c r="L161" s="96">
        <v>45</v>
      </c>
      <c r="M161" s="53"/>
    </row>
    <row r="162" spans="1:13" ht="15">
      <c r="A162" s="357"/>
      <c r="B162" s="358"/>
      <c r="C162" s="359"/>
      <c r="D162" s="147" t="s">
        <v>56</v>
      </c>
      <c r="E162" s="147">
        <v>1</v>
      </c>
      <c r="F162" s="147"/>
      <c r="G162" s="147">
        <v>1</v>
      </c>
      <c r="H162" s="147">
        <v>1</v>
      </c>
      <c r="I162" s="63"/>
      <c r="J162" s="63"/>
      <c r="K162" s="139">
        <v>1923</v>
      </c>
      <c r="L162" s="96">
        <v>212</v>
      </c>
      <c r="M162" s="53"/>
    </row>
    <row r="163" spans="1:13" ht="15">
      <c r="A163" s="357"/>
      <c r="B163" s="358"/>
      <c r="C163" s="359"/>
      <c r="D163" s="147" t="s">
        <v>56</v>
      </c>
      <c r="E163" s="147">
        <v>1</v>
      </c>
      <c r="F163" s="147"/>
      <c r="G163" s="147">
        <v>1</v>
      </c>
      <c r="H163" s="147">
        <v>1</v>
      </c>
      <c r="I163" s="63"/>
      <c r="J163" s="63"/>
      <c r="K163" s="139">
        <v>1915</v>
      </c>
      <c r="L163" s="96">
        <v>3</v>
      </c>
      <c r="M163" s="53"/>
    </row>
    <row r="164" spans="1:13" ht="15">
      <c r="A164" s="357"/>
      <c r="B164" s="358"/>
      <c r="C164" s="359"/>
      <c r="D164" s="147" t="s">
        <v>56</v>
      </c>
      <c r="E164" s="147">
        <v>1</v>
      </c>
      <c r="F164" s="147">
        <v>1</v>
      </c>
      <c r="G164" s="147"/>
      <c r="H164" s="147">
        <v>1</v>
      </c>
      <c r="I164" s="63"/>
      <c r="J164" s="63"/>
      <c r="K164" s="139">
        <v>1924</v>
      </c>
      <c r="L164" s="96">
        <v>167</v>
      </c>
      <c r="M164" s="53"/>
    </row>
    <row r="165" spans="1:13" ht="15">
      <c r="A165" s="357"/>
      <c r="B165" s="358"/>
      <c r="C165" s="359"/>
      <c r="D165" s="147" t="s">
        <v>56</v>
      </c>
      <c r="E165" s="147">
        <v>1</v>
      </c>
      <c r="F165" s="147"/>
      <c r="G165" s="147">
        <v>1</v>
      </c>
      <c r="H165" s="147">
        <v>1</v>
      </c>
      <c r="I165" s="63"/>
      <c r="J165" s="63"/>
      <c r="K165" s="139">
        <v>1932</v>
      </c>
      <c r="L165" s="96">
        <v>86</v>
      </c>
      <c r="M165" s="53"/>
    </row>
    <row r="166" spans="1:13" ht="15">
      <c r="A166" s="357"/>
      <c r="B166" s="358"/>
      <c r="C166" s="359"/>
      <c r="D166" s="147" t="s">
        <v>56</v>
      </c>
      <c r="E166" s="147">
        <v>1</v>
      </c>
      <c r="F166" s="147">
        <v>1</v>
      </c>
      <c r="G166" s="147"/>
      <c r="H166" s="147">
        <v>1</v>
      </c>
      <c r="I166" s="63"/>
      <c r="J166" s="63"/>
      <c r="K166" s="139">
        <v>1938</v>
      </c>
      <c r="L166" s="96">
        <v>154</v>
      </c>
      <c r="M166" s="53"/>
    </row>
    <row r="167" spans="1:13" ht="15">
      <c r="A167" s="357"/>
      <c r="B167" s="358"/>
      <c r="C167" s="359"/>
      <c r="D167" s="147" t="s">
        <v>56</v>
      </c>
      <c r="E167" s="147">
        <v>1</v>
      </c>
      <c r="F167" s="147">
        <v>1</v>
      </c>
      <c r="G167" s="147"/>
      <c r="H167" s="147">
        <v>1</v>
      </c>
      <c r="I167" s="63"/>
      <c r="J167" s="63"/>
      <c r="K167" s="139">
        <v>1932</v>
      </c>
      <c r="L167" s="96">
        <v>246</v>
      </c>
      <c r="M167" s="53"/>
    </row>
    <row r="168" spans="1:13" ht="15">
      <c r="A168" s="357"/>
      <c r="B168" s="358"/>
      <c r="C168" s="359"/>
      <c r="D168" s="147" t="s">
        <v>56</v>
      </c>
      <c r="E168" s="147">
        <v>1</v>
      </c>
      <c r="F168" s="147">
        <v>1</v>
      </c>
      <c r="G168" s="147"/>
      <c r="H168" s="147">
        <v>1</v>
      </c>
      <c r="I168" s="63"/>
      <c r="J168" s="63"/>
      <c r="K168" s="139">
        <v>1935</v>
      </c>
      <c r="L168" s="96">
        <v>141</v>
      </c>
      <c r="M168" s="53"/>
    </row>
    <row r="169" spans="1:13" ht="15">
      <c r="A169" s="357"/>
      <c r="B169" s="358"/>
      <c r="C169" s="359"/>
      <c r="D169" s="147" t="s">
        <v>56</v>
      </c>
      <c r="E169" s="147">
        <v>1</v>
      </c>
      <c r="F169" s="147"/>
      <c r="G169" s="147">
        <v>1</v>
      </c>
      <c r="H169" s="147">
        <v>1</v>
      </c>
      <c r="I169" s="63"/>
      <c r="J169" s="63"/>
      <c r="K169" s="139">
        <v>1920</v>
      </c>
      <c r="L169" s="96">
        <v>85</v>
      </c>
      <c r="M169" s="53"/>
    </row>
    <row r="170" spans="1:13" ht="15">
      <c r="A170" s="357"/>
      <c r="B170" s="358"/>
      <c r="C170" s="359"/>
      <c r="D170" s="147" t="s">
        <v>56</v>
      </c>
      <c r="E170" s="147">
        <v>1</v>
      </c>
      <c r="F170" s="147">
        <v>1</v>
      </c>
      <c r="G170" s="147"/>
      <c r="H170" s="147">
        <v>1</v>
      </c>
      <c r="I170" s="63"/>
      <c r="J170" s="63"/>
      <c r="K170" s="139">
        <v>1932</v>
      </c>
      <c r="L170" s="96">
        <v>36</v>
      </c>
      <c r="M170" s="53"/>
    </row>
    <row r="171" spans="1:13" ht="15">
      <c r="A171" s="357"/>
      <c r="B171" s="358"/>
      <c r="C171" s="359"/>
      <c r="D171" s="147" t="s">
        <v>56</v>
      </c>
      <c r="E171" s="147">
        <v>1</v>
      </c>
      <c r="F171" s="147"/>
      <c r="G171" s="147">
        <v>1</v>
      </c>
      <c r="H171" s="147">
        <v>1</v>
      </c>
      <c r="I171" s="63"/>
      <c r="J171" s="63"/>
      <c r="K171" s="139">
        <v>1938</v>
      </c>
      <c r="L171" s="96">
        <v>73</v>
      </c>
      <c r="M171" s="53"/>
    </row>
    <row r="172" spans="1:13" ht="15">
      <c r="A172" s="357"/>
      <c r="B172" s="358"/>
      <c r="C172" s="359"/>
      <c r="D172" s="147" t="s">
        <v>56</v>
      </c>
      <c r="E172" s="147">
        <v>1</v>
      </c>
      <c r="F172" s="147">
        <v>1</v>
      </c>
      <c r="G172" s="147"/>
      <c r="H172" s="147">
        <v>1</v>
      </c>
      <c r="I172" s="63"/>
      <c r="J172" s="63"/>
      <c r="K172" s="139">
        <v>1927</v>
      </c>
      <c r="L172" s="96">
        <v>33</v>
      </c>
      <c r="M172" s="53"/>
    </row>
    <row r="173" spans="1:13" ht="15">
      <c r="A173" s="357"/>
      <c r="B173" s="358"/>
      <c r="C173" s="359"/>
      <c r="D173" s="147" t="s">
        <v>56</v>
      </c>
      <c r="E173" s="147">
        <v>1</v>
      </c>
      <c r="F173" s="147"/>
      <c r="G173" s="147">
        <v>1</v>
      </c>
      <c r="H173" s="147">
        <v>1</v>
      </c>
      <c r="I173" s="63"/>
      <c r="J173" s="63"/>
      <c r="K173" s="139">
        <v>1924</v>
      </c>
      <c r="L173" s="96">
        <v>211</v>
      </c>
      <c r="M173" s="53"/>
    </row>
    <row r="174" spans="1:13" ht="15">
      <c r="A174" s="357"/>
      <c r="B174" s="358"/>
      <c r="C174" s="359"/>
      <c r="D174" s="147" t="s">
        <v>56</v>
      </c>
      <c r="E174" s="147">
        <v>1</v>
      </c>
      <c r="F174" s="147"/>
      <c r="G174" s="147">
        <v>1</v>
      </c>
      <c r="H174" s="147">
        <v>1</v>
      </c>
      <c r="I174" s="63"/>
      <c r="J174" s="63"/>
      <c r="K174" s="139">
        <v>1946</v>
      </c>
      <c r="L174" s="96">
        <v>90</v>
      </c>
      <c r="M174" s="53"/>
    </row>
    <row r="175" spans="1:13" ht="15">
      <c r="A175" s="357"/>
      <c r="B175" s="358"/>
      <c r="C175" s="359"/>
      <c r="D175" s="147" t="s">
        <v>56</v>
      </c>
      <c r="E175" s="147">
        <v>1</v>
      </c>
      <c r="F175" s="147"/>
      <c r="G175" s="147">
        <v>1</v>
      </c>
      <c r="H175" s="147">
        <v>1</v>
      </c>
      <c r="I175" s="63"/>
      <c r="J175" s="63"/>
      <c r="K175" s="139">
        <v>1943</v>
      </c>
      <c r="L175" s="96">
        <v>41</v>
      </c>
      <c r="M175" s="53"/>
    </row>
    <row r="176" spans="1:13" ht="15">
      <c r="A176" s="357"/>
      <c r="B176" s="358"/>
      <c r="C176" s="359"/>
      <c r="D176" s="147" t="s">
        <v>56</v>
      </c>
      <c r="E176" s="147">
        <v>1</v>
      </c>
      <c r="F176" s="147"/>
      <c r="G176" s="147">
        <v>1</v>
      </c>
      <c r="H176" s="147">
        <v>1</v>
      </c>
      <c r="I176" s="63"/>
      <c r="J176" s="63"/>
      <c r="K176" s="139">
        <v>1940</v>
      </c>
      <c r="L176" s="96">
        <v>34</v>
      </c>
      <c r="M176" s="53"/>
    </row>
    <row r="177" spans="1:13" ht="15">
      <c r="A177" s="357"/>
      <c r="B177" s="358"/>
      <c r="C177" s="359"/>
      <c r="D177" s="147" t="s">
        <v>56</v>
      </c>
      <c r="E177" s="147">
        <v>1</v>
      </c>
      <c r="F177" s="147">
        <v>1</v>
      </c>
      <c r="G177" s="147"/>
      <c r="H177" s="147">
        <v>1</v>
      </c>
      <c r="I177" s="63"/>
      <c r="J177" s="63"/>
      <c r="K177" s="139">
        <v>1937</v>
      </c>
      <c r="L177" s="96">
        <v>123</v>
      </c>
      <c r="M177" s="53"/>
    </row>
    <row r="178" spans="1:13" ht="15">
      <c r="A178" s="357"/>
      <c r="B178" s="358"/>
      <c r="C178" s="359"/>
      <c r="D178" s="147" t="s">
        <v>56</v>
      </c>
      <c r="E178" s="147">
        <v>1</v>
      </c>
      <c r="F178" s="147"/>
      <c r="G178" s="147">
        <v>1</v>
      </c>
      <c r="H178" s="147">
        <v>1</v>
      </c>
      <c r="I178" s="63"/>
      <c r="J178" s="63"/>
      <c r="K178" s="139">
        <v>1933</v>
      </c>
      <c r="L178" s="96">
        <v>85</v>
      </c>
      <c r="M178" s="53"/>
    </row>
    <row r="179" spans="1:13" ht="15">
      <c r="A179" s="357"/>
      <c r="B179" s="358"/>
      <c r="C179" s="359"/>
      <c r="D179" s="147" t="s">
        <v>56</v>
      </c>
      <c r="E179" s="147">
        <v>1</v>
      </c>
      <c r="F179" s="147"/>
      <c r="G179" s="147">
        <v>1</v>
      </c>
      <c r="H179" s="147">
        <v>1</v>
      </c>
      <c r="I179" s="63"/>
      <c r="J179" s="63"/>
      <c r="K179" s="139">
        <v>1919</v>
      </c>
      <c r="L179" s="96">
        <v>137</v>
      </c>
      <c r="M179" s="53"/>
    </row>
    <row r="180" spans="1:13" ht="15">
      <c r="A180" s="357"/>
      <c r="B180" s="358"/>
      <c r="C180" s="359"/>
      <c r="D180" s="147" t="s">
        <v>56</v>
      </c>
      <c r="E180" s="147">
        <v>1</v>
      </c>
      <c r="F180" s="147"/>
      <c r="G180" s="147">
        <v>1</v>
      </c>
      <c r="H180" s="147">
        <v>1</v>
      </c>
      <c r="I180" s="63"/>
      <c r="J180" s="63"/>
      <c r="K180" s="139">
        <v>1928</v>
      </c>
      <c r="L180" s="96">
        <v>133</v>
      </c>
      <c r="M180" s="53"/>
    </row>
    <row r="181" spans="1:13" ht="15">
      <c r="A181" s="357"/>
      <c r="B181" s="358"/>
      <c r="C181" s="359"/>
      <c r="D181" s="147" t="s">
        <v>56</v>
      </c>
      <c r="E181" s="147">
        <v>1</v>
      </c>
      <c r="F181" s="147">
        <v>1</v>
      </c>
      <c r="G181" s="147"/>
      <c r="H181" s="147">
        <v>1</v>
      </c>
      <c r="I181" s="63"/>
      <c r="J181" s="63"/>
      <c r="K181" s="139">
        <v>1928</v>
      </c>
      <c r="L181" s="96">
        <v>66</v>
      </c>
      <c r="M181" s="53"/>
    </row>
    <row r="182" spans="1:13" ht="15">
      <c r="A182" s="357"/>
      <c r="B182" s="358"/>
      <c r="C182" s="359"/>
      <c r="D182" s="147" t="s">
        <v>56</v>
      </c>
      <c r="E182" s="147">
        <v>1</v>
      </c>
      <c r="F182" s="147"/>
      <c r="G182" s="147">
        <v>1</v>
      </c>
      <c r="H182" s="147">
        <v>1</v>
      </c>
      <c r="I182" s="63"/>
      <c r="J182" s="63"/>
      <c r="K182" s="139">
        <v>1931</v>
      </c>
      <c r="L182" s="96">
        <v>157</v>
      </c>
      <c r="M182" s="53"/>
    </row>
    <row r="183" spans="1:13" ht="15">
      <c r="A183" s="357"/>
      <c r="B183" s="358"/>
      <c r="C183" s="359"/>
      <c r="D183" s="147" t="s">
        <v>56</v>
      </c>
      <c r="E183" s="147">
        <v>1</v>
      </c>
      <c r="F183" s="147"/>
      <c r="G183" s="147">
        <v>1</v>
      </c>
      <c r="H183" s="147">
        <v>1</v>
      </c>
      <c r="I183" s="63"/>
      <c r="J183" s="63"/>
      <c r="K183" s="139">
        <v>1927</v>
      </c>
      <c r="L183" s="96">
        <v>221</v>
      </c>
      <c r="M183" s="53"/>
    </row>
    <row r="184" spans="1:13" ht="15">
      <c r="A184" s="357"/>
      <c r="B184" s="358"/>
      <c r="C184" s="359"/>
      <c r="D184" s="147" t="s">
        <v>56</v>
      </c>
      <c r="E184" s="147">
        <v>1</v>
      </c>
      <c r="F184" s="147">
        <v>1</v>
      </c>
      <c r="G184" s="147"/>
      <c r="H184" s="147">
        <v>1</v>
      </c>
      <c r="I184" s="63"/>
      <c r="J184" s="63"/>
      <c r="K184" s="139">
        <v>1926</v>
      </c>
      <c r="L184" s="96">
        <v>14</v>
      </c>
      <c r="M184" s="53"/>
    </row>
    <row r="185" spans="1:13" ht="15">
      <c r="A185" s="357"/>
      <c r="B185" s="358"/>
      <c r="C185" s="359"/>
      <c r="D185" s="147" t="s">
        <v>56</v>
      </c>
      <c r="E185" s="147">
        <v>1</v>
      </c>
      <c r="F185" s="147"/>
      <c r="G185" s="147">
        <v>1</v>
      </c>
      <c r="H185" s="147">
        <v>1</v>
      </c>
      <c r="I185" s="63"/>
      <c r="J185" s="63"/>
      <c r="K185" s="139">
        <v>1945</v>
      </c>
      <c r="L185" s="96">
        <v>181</v>
      </c>
      <c r="M185" s="53"/>
    </row>
    <row r="186" spans="1:13" ht="15">
      <c r="A186" s="357"/>
      <c r="B186" s="358"/>
      <c r="C186" s="359"/>
      <c r="D186" s="147" t="s">
        <v>56</v>
      </c>
      <c r="E186" s="147">
        <v>1</v>
      </c>
      <c r="F186" s="147"/>
      <c r="G186" s="147">
        <v>1</v>
      </c>
      <c r="H186" s="147">
        <v>1</v>
      </c>
      <c r="I186" s="63"/>
      <c r="J186" s="63"/>
      <c r="K186" s="139">
        <v>1936</v>
      </c>
      <c r="L186" s="96">
        <v>241</v>
      </c>
      <c r="M186" s="53"/>
    </row>
    <row r="187" spans="1:13" ht="15">
      <c r="A187" s="357"/>
      <c r="B187" s="358"/>
      <c r="C187" s="359"/>
      <c r="D187" s="147" t="s">
        <v>56</v>
      </c>
      <c r="E187" s="147">
        <v>1</v>
      </c>
      <c r="F187" s="147">
        <v>1</v>
      </c>
      <c r="G187" s="147"/>
      <c r="H187" s="147">
        <v>1</v>
      </c>
      <c r="I187" s="63"/>
      <c r="J187" s="63"/>
      <c r="K187" s="139">
        <v>1936</v>
      </c>
      <c r="L187" s="96">
        <v>75</v>
      </c>
      <c r="M187" s="53"/>
    </row>
    <row r="188" spans="1:13" ht="15">
      <c r="A188" s="357"/>
      <c r="B188" s="358"/>
      <c r="C188" s="359"/>
      <c r="D188" s="147" t="s">
        <v>56</v>
      </c>
      <c r="E188" s="147">
        <v>1</v>
      </c>
      <c r="F188" s="147">
        <v>1</v>
      </c>
      <c r="G188" s="147"/>
      <c r="H188" s="147">
        <v>1</v>
      </c>
      <c r="I188" s="63"/>
      <c r="J188" s="63"/>
      <c r="K188" s="139">
        <v>1933</v>
      </c>
      <c r="L188" s="96">
        <v>195</v>
      </c>
      <c r="M188" s="53"/>
    </row>
    <row r="189" spans="1:13" ht="15">
      <c r="A189" s="357"/>
      <c r="B189" s="358"/>
      <c r="C189" s="359"/>
      <c r="D189" s="147" t="s">
        <v>56</v>
      </c>
      <c r="E189" s="147">
        <v>1</v>
      </c>
      <c r="F189" s="147"/>
      <c r="G189" s="147">
        <v>1</v>
      </c>
      <c r="H189" s="147">
        <v>1</v>
      </c>
      <c r="I189" s="63"/>
      <c r="J189" s="63"/>
      <c r="K189" s="139">
        <v>1917</v>
      </c>
      <c r="L189" s="96">
        <v>237</v>
      </c>
      <c r="M189" s="53"/>
    </row>
    <row r="190" spans="1:13" ht="15">
      <c r="A190" s="357"/>
      <c r="B190" s="358"/>
      <c r="C190" s="359"/>
      <c r="D190" s="147" t="s">
        <v>56</v>
      </c>
      <c r="E190" s="147">
        <v>1</v>
      </c>
      <c r="F190" s="147"/>
      <c r="G190" s="147">
        <v>1</v>
      </c>
      <c r="H190" s="147">
        <v>1</v>
      </c>
      <c r="I190" s="63"/>
      <c r="J190" s="63"/>
      <c r="K190" s="139">
        <v>1929</v>
      </c>
      <c r="L190" s="96">
        <v>61</v>
      </c>
      <c r="M190" s="53"/>
    </row>
    <row r="191" spans="1:13" ht="15">
      <c r="A191" s="357"/>
      <c r="B191" s="358"/>
      <c r="C191" s="359"/>
      <c r="D191" s="147" t="s">
        <v>56</v>
      </c>
      <c r="E191" s="147">
        <v>1</v>
      </c>
      <c r="F191" s="147"/>
      <c r="G191" s="147">
        <v>1</v>
      </c>
      <c r="H191" s="147">
        <v>1</v>
      </c>
      <c r="I191" s="63"/>
      <c r="J191" s="63"/>
      <c r="K191" s="139">
        <v>1932</v>
      </c>
      <c r="L191" s="96">
        <v>118</v>
      </c>
      <c r="M191" s="53"/>
    </row>
    <row r="192" spans="1:13" ht="15">
      <c r="A192" s="357"/>
      <c r="B192" s="358"/>
      <c r="C192" s="359"/>
      <c r="D192" s="147" t="s">
        <v>56</v>
      </c>
      <c r="E192" s="147">
        <v>1</v>
      </c>
      <c r="F192" s="147"/>
      <c r="G192" s="147">
        <v>1</v>
      </c>
      <c r="H192" s="147">
        <v>1</v>
      </c>
      <c r="I192" s="63"/>
      <c r="J192" s="63"/>
      <c r="K192" s="139">
        <v>1929</v>
      </c>
      <c r="L192" s="96">
        <v>57</v>
      </c>
      <c r="M192" s="53"/>
    </row>
    <row r="193" spans="1:13" ht="15">
      <c r="A193" s="357"/>
      <c r="B193" s="358"/>
      <c r="C193" s="359"/>
      <c r="D193" s="147" t="s">
        <v>56</v>
      </c>
      <c r="E193" s="147">
        <v>1</v>
      </c>
      <c r="F193" s="147">
        <v>1</v>
      </c>
      <c r="G193" s="147"/>
      <c r="H193" s="147">
        <v>1</v>
      </c>
      <c r="I193" s="63"/>
      <c r="J193" s="63"/>
      <c r="K193" s="139">
        <v>1920</v>
      </c>
      <c r="L193" s="96">
        <v>243</v>
      </c>
      <c r="M193" s="53"/>
    </row>
    <row r="194" spans="1:13" ht="15">
      <c r="A194" s="357"/>
      <c r="B194" s="358"/>
      <c r="C194" s="359"/>
      <c r="D194" s="147" t="s">
        <v>56</v>
      </c>
      <c r="E194" s="147">
        <v>1</v>
      </c>
      <c r="F194" s="147"/>
      <c r="G194" s="147">
        <v>1</v>
      </c>
      <c r="H194" s="147">
        <v>1</v>
      </c>
      <c r="I194" s="63"/>
      <c r="J194" s="63"/>
      <c r="K194" s="139">
        <v>1947</v>
      </c>
      <c r="L194" s="96">
        <v>37</v>
      </c>
      <c r="M194" s="53"/>
    </row>
    <row r="195" spans="1:15" ht="15" customHeight="1">
      <c r="A195" s="392" t="s">
        <v>192</v>
      </c>
      <c r="B195" s="394"/>
      <c r="C195" s="254"/>
      <c r="D195" s="72"/>
      <c r="E195" s="84">
        <f>SUM(E154:E194)</f>
        <v>41</v>
      </c>
      <c r="F195" s="84">
        <f>SUM(F154:F194)</f>
        <v>15</v>
      </c>
      <c r="G195" s="84">
        <f>SUM(G154:G194)</f>
        <v>26</v>
      </c>
      <c r="H195" s="84">
        <f>SUM(H154:H194)</f>
        <v>41</v>
      </c>
      <c r="I195" s="84">
        <f>SUM(I154:I194)</f>
        <v>0</v>
      </c>
      <c r="J195" s="84"/>
      <c r="K195" s="84"/>
      <c r="L195" s="84">
        <f>SUM(L154:L194)</f>
        <v>4935</v>
      </c>
      <c r="M195" s="255">
        <f>262980.4-1932-22.87</f>
        <v>261025.53000000003</v>
      </c>
      <c r="N195" s="133"/>
      <c r="O195" s="179"/>
    </row>
    <row r="196" spans="1:13" s="133" customFormat="1" ht="15" customHeight="1">
      <c r="A196" s="374" t="s">
        <v>98</v>
      </c>
      <c r="B196" s="374"/>
      <c r="C196" s="84"/>
      <c r="D196" s="143"/>
      <c r="E196" s="143">
        <f>SUM(E195)</f>
        <v>41</v>
      </c>
      <c r="F196" s="143">
        <f>SUM(F195)</f>
        <v>15</v>
      </c>
      <c r="G196" s="143">
        <f>SUM(G195)</f>
        <v>26</v>
      </c>
      <c r="H196" s="143">
        <f>SUM(H195)</f>
        <v>41</v>
      </c>
      <c r="I196" s="143">
        <f>SUM(I195)</f>
        <v>0</v>
      </c>
      <c r="J196" s="143"/>
      <c r="K196" s="143"/>
      <c r="L196" s="143">
        <v>0</v>
      </c>
      <c r="M196" s="176">
        <f>SUM(M195)</f>
        <v>261025.53000000003</v>
      </c>
    </row>
    <row r="197" spans="1:14" s="87" customFormat="1" ht="15" customHeight="1">
      <c r="A197" s="381" t="s">
        <v>85</v>
      </c>
      <c r="B197" s="381"/>
      <c r="C197" s="48"/>
      <c r="D197" s="48"/>
      <c r="E197" s="48"/>
      <c r="F197" s="48"/>
      <c r="G197" s="48"/>
      <c r="H197" s="48"/>
      <c r="I197" s="48"/>
      <c r="J197" s="48"/>
      <c r="K197" s="48"/>
      <c r="L197" s="171"/>
      <c r="M197" s="171"/>
      <c r="N197" s="133"/>
    </row>
    <row r="198" spans="1:14" s="173" customFormat="1" ht="30" customHeight="1">
      <c r="A198" s="52" t="s">
        <v>5</v>
      </c>
      <c r="B198" s="52" t="s">
        <v>1</v>
      </c>
      <c r="C198" s="52" t="s">
        <v>3</v>
      </c>
      <c r="D198" s="52" t="s">
        <v>12</v>
      </c>
      <c r="E198" s="52" t="s">
        <v>120</v>
      </c>
      <c r="F198" s="52" t="s">
        <v>90</v>
      </c>
      <c r="G198" s="52" t="s">
        <v>91</v>
      </c>
      <c r="H198" s="52" t="s">
        <v>140</v>
      </c>
      <c r="I198" s="52" t="s">
        <v>127</v>
      </c>
      <c r="J198" s="52" t="s">
        <v>159</v>
      </c>
      <c r="K198" s="52" t="s">
        <v>119</v>
      </c>
      <c r="L198" s="52" t="s">
        <v>125</v>
      </c>
      <c r="M198" s="52" t="s">
        <v>195</v>
      </c>
      <c r="N198" s="172"/>
    </row>
    <row r="199" spans="1:13" s="172" customFormat="1" ht="15" customHeight="1">
      <c r="A199" s="366"/>
      <c r="B199" s="366"/>
      <c r="C199" s="359"/>
      <c r="D199" s="147" t="s">
        <v>15</v>
      </c>
      <c r="E199" s="147">
        <v>1</v>
      </c>
      <c r="F199" s="147"/>
      <c r="G199" s="147">
        <v>1</v>
      </c>
      <c r="H199" s="147">
        <v>1</v>
      </c>
      <c r="I199" s="64"/>
      <c r="J199" s="64"/>
      <c r="K199" s="139">
        <v>1929</v>
      </c>
      <c r="L199" s="164">
        <v>19</v>
      </c>
      <c r="M199" s="53"/>
    </row>
    <row r="200" spans="1:13" s="172" customFormat="1" ht="15" customHeight="1">
      <c r="A200" s="366"/>
      <c r="B200" s="366"/>
      <c r="C200" s="359"/>
      <c r="D200" s="147" t="s">
        <v>15</v>
      </c>
      <c r="E200" s="147">
        <v>1</v>
      </c>
      <c r="F200" s="147">
        <v>1</v>
      </c>
      <c r="G200" s="147"/>
      <c r="H200" s="147">
        <v>1</v>
      </c>
      <c r="I200" s="64"/>
      <c r="J200" s="64"/>
      <c r="K200" s="139">
        <v>1923</v>
      </c>
      <c r="L200" s="164">
        <v>231</v>
      </c>
      <c r="M200" s="53"/>
    </row>
    <row r="201" spans="1:13" s="172" customFormat="1" ht="15" customHeight="1">
      <c r="A201" s="366"/>
      <c r="B201" s="366"/>
      <c r="C201" s="359"/>
      <c r="D201" s="147" t="s">
        <v>15</v>
      </c>
      <c r="E201" s="147">
        <v>1</v>
      </c>
      <c r="F201" s="147"/>
      <c r="G201" s="147">
        <v>1</v>
      </c>
      <c r="H201" s="147">
        <v>1</v>
      </c>
      <c r="I201" s="64"/>
      <c r="J201" s="64"/>
      <c r="K201" s="139">
        <v>1928</v>
      </c>
      <c r="L201" s="164">
        <v>149</v>
      </c>
      <c r="M201" s="53"/>
    </row>
    <row r="202" spans="1:13" ht="15" customHeight="1">
      <c r="A202" s="366"/>
      <c r="B202" s="366"/>
      <c r="C202" s="359"/>
      <c r="D202" s="147" t="s">
        <v>15</v>
      </c>
      <c r="E202" s="147">
        <v>1</v>
      </c>
      <c r="F202" s="147">
        <v>1</v>
      </c>
      <c r="G202" s="147"/>
      <c r="H202" s="147">
        <v>1</v>
      </c>
      <c r="I202" s="64"/>
      <c r="J202" s="64"/>
      <c r="K202" s="139">
        <v>1935</v>
      </c>
      <c r="L202" s="164">
        <v>107</v>
      </c>
      <c r="M202" s="174"/>
    </row>
    <row r="203" spans="1:13" ht="15" customHeight="1">
      <c r="A203" s="366"/>
      <c r="B203" s="366"/>
      <c r="C203" s="359"/>
      <c r="D203" s="147" t="s">
        <v>15</v>
      </c>
      <c r="E203" s="147">
        <v>1</v>
      </c>
      <c r="F203" s="147"/>
      <c r="G203" s="147">
        <v>1</v>
      </c>
      <c r="H203" s="147">
        <v>1</v>
      </c>
      <c r="I203" s="64"/>
      <c r="J203" s="64"/>
      <c r="K203" s="139">
        <v>1922</v>
      </c>
      <c r="L203" s="164">
        <v>204</v>
      </c>
      <c r="M203" s="174"/>
    </row>
    <row r="204" spans="1:13" ht="15" customHeight="1">
      <c r="A204" s="366"/>
      <c r="B204" s="366"/>
      <c r="C204" s="359"/>
      <c r="D204" s="147" t="s">
        <v>15</v>
      </c>
      <c r="E204" s="147">
        <v>1</v>
      </c>
      <c r="F204" s="147">
        <v>1</v>
      </c>
      <c r="G204" s="147"/>
      <c r="H204" s="147">
        <v>1</v>
      </c>
      <c r="I204" s="64"/>
      <c r="J204" s="64"/>
      <c r="K204" s="139">
        <v>1926</v>
      </c>
      <c r="L204" s="164">
        <v>162</v>
      </c>
      <c r="M204" s="174"/>
    </row>
    <row r="205" spans="1:13" ht="15" customHeight="1">
      <c r="A205" s="366"/>
      <c r="B205" s="366"/>
      <c r="C205" s="359"/>
      <c r="D205" s="147" t="s">
        <v>15</v>
      </c>
      <c r="E205" s="147">
        <v>1</v>
      </c>
      <c r="F205" s="147"/>
      <c r="G205" s="147">
        <v>1</v>
      </c>
      <c r="H205" s="147">
        <v>1</v>
      </c>
      <c r="I205" s="64"/>
      <c r="J205" s="64"/>
      <c r="K205" s="139">
        <v>1930</v>
      </c>
      <c r="L205" s="164">
        <v>176</v>
      </c>
      <c r="M205" s="174"/>
    </row>
    <row r="206" spans="1:13" ht="15" customHeight="1">
      <c r="A206" s="366"/>
      <c r="B206" s="366"/>
      <c r="C206" s="359"/>
      <c r="D206" s="147" t="s">
        <v>15</v>
      </c>
      <c r="E206" s="147">
        <v>1</v>
      </c>
      <c r="F206" s="147"/>
      <c r="G206" s="147">
        <v>1</v>
      </c>
      <c r="H206" s="147">
        <v>1</v>
      </c>
      <c r="I206" s="64"/>
      <c r="J206" s="64"/>
      <c r="K206" s="139">
        <v>1933</v>
      </c>
      <c r="L206" s="164">
        <v>122</v>
      </c>
      <c r="M206" s="174"/>
    </row>
    <row r="207" spans="1:13" ht="15" customHeight="1">
      <c r="A207" s="366"/>
      <c r="B207" s="366"/>
      <c r="C207" s="359"/>
      <c r="D207" s="147" t="s">
        <v>15</v>
      </c>
      <c r="E207" s="147">
        <v>1</v>
      </c>
      <c r="F207" s="147"/>
      <c r="G207" s="147">
        <v>1</v>
      </c>
      <c r="H207" s="147">
        <v>1</v>
      </c>
      <c r="I207" s="64"/>
      <c r="J207" s="64"/>
      <c r="K207" s="139">
        <v>1940</v>
      </c>
      <c r="L207" s="65">
        <v>12</v>
      </c>
      <c r="M207" s="174"/>
    </row>
    <row r="208" spans="1:13" ht="15" customHeight="1">
      <c r="A208" s="366"/>
      <c r="B208" s="366"/>
      <c r="C208" s="359"/>
      <c r="D208" s="147" t="s">
        <v>15</v>
      </c>
      <c r="E208" s="147">
        <v>1</v>
      </c>
      <c r="F208" s="147"/>
      <c r="G208" s="147">
        <v>1</v>
      </c>
      <c r="H208" s="147">
        <v>1</v>
      </c>
      <c r="I208" s="64"/>
      <c r="J208" s="64"/>
      <c r="K208" s="139">
        <v>1928</v>
      </c>
      <c r="L208" s="164">
        <v>69</v>
      </c>
      <c r="M208" s="174"/>
    </row>
    <row r="209" spans="1:13" ht="15" customHeight="1">
      <c r="A209" s="366"/>
      <c r="B209" s="366"/>
      <c r="C209" s="359"/>
      <c r="D209" s="147" t="s">
        <v>15</v>
      </c>
      <c r="E209" s="147">
        <v>1</v>
      </c>
      <c r="F209" s="147"/>
      <c r="G209" s="147">
        <v>1</v>
      </c>
      <c r="H209" s="147">
        <v>1</v>
      </c>
      <c r="I209" s="64"/>
      <c r="J209" s="64"/>
      <c r="K209" s="139">
        <v>1938</v>
      </c>
      <c r="L209" s="164">
        <v>32</v>
      </c>
      <c r="M209" s="174"/>
    </row>
    <row r="210" spans="1:13" ht="15" customHeight="1">
      <c r="A210" s="366"/>
      <c r="B210" s="366"/>
      <c r="C210" s="359"/>
      <c r="D210" s="147" t="s">
        <v>15</v>
      </c>
      <c r="E210" s="147">
        <v>1</v>
      </c>
      <c r="F210" s="147"/>
      <c r="G210" s="147">
        <v>1</v>
      </c>
      <c r="H210" s="147">
        <v>1</v>
      </c>
      <c r="I210" s="64"/>
      <c r="J210" s="64"/>
      <c r="K210" s="139">
        <v>1932</v>
      </c>
      <c r="L210" s="164">
        <v>104</v>
      </c>
      <c r="M210" s="174"/>
    </row>
    <row r="211" spans="1:13" ht="15" customHeight="1">
      <c r="A211" s="366"/>
      <c r="B211" s="366"/>
      <c r="C211" s="359"/>
      <c r="D211" s="147" t="s">
        <v>15</v>
      </c>
      <c r="E211" s="147">
        <v>1</v>
      </c>
      <c r="F211" s="147"/>
      <c r="G211" s="147">
        <v>1</v>
      </c>
      <c r="H211" s="147">
        <v>1</v>
      </c>
      <c r="I211" s="64"/>
      <c r="J211" s="64"/>
      <c r="K211" s="139">
        <v>1926</v>
      </c>
      <c r="L211" s="164">
        <v>181</v>
      </c>
      <c r="M211" s="174"/>
    </row>
    <row r="212" spans="1:13" ht="15" customHeight="1">
      <c r="A212" s="366"/>
      <c r="B212" s="366"/>
      <c r="C212" s="359"/>
      <c r="D212" s="147" t="s">
        <v>15</v>
      </c>
      <c r="E212" s="147">
        <v>1</v>
      </c>
      <c r="F212" s="147"/>
      <c r="G212" s="147">
        <v>1</v>
      </c>
      <c r="H212" s="147">
        <v>1</v>
      </c>
      <c r="I212" s="64"/>
      <c r="J212" s="64"/>
      <c r="K212" s="139">
        <v>1925</v>
      </c>
      <c r="L212" s="65">
        <v>13</v>
      </c>
      <c r="M212" s="174"/>
    </row>
    <row r="213" spans="1:13" ht="15" customHeight="1">
      <c r="A213" s="366"/>
      <c r="B213" s="366"/>
      <c r="C213" s="359"/>
      <c r="D213" s="147" t="s">
        <v>15</v>
      </c>
      <c r="E213" s="147">
        <v>1</v>
      </c>
      <c r="F213" s="147"/>
      <c r="G213" s="147">
        <v>1</v>
      </c>
      <c r="H213" s="147">
        <v>1</v>
      </c>
      <c r="I213" s="64"/>
      <c r="J213" s="64"/>
      <c r="K213" s="139">
        <v>1925</v>
      </c>
      <c r="L213" s="65">
        <v>10</v>
      </c>
      <c r="M213" s="174"/>
    </row>
    <row r="214" spans="1:13" ht="15" customHeight="1">
      <c r="A214" s="366"/>
      <c r="B214" s="366"/>
      <c r="C214" s="359"/>
      <c r="D214" s="147" t="s">
        <v>15</v>
      </c>
      <c r="E214" s="147">
        <v>1</v>
      </c>
      <c r="F214" s="147"/>
      <c r="G214" s="147">
        <v>1</v>
      </c>
      <c r="H214" s="147">
        <v>1</v>
      </c>
      <c r="I214" s="64"/>
      <c r="J214" s="64"/>
      <c r="K214" s="139">
        <v>1924</v>
      </c>
      <c r="L214" s="164">
        <v>186</v>
      </c>
      <c r="M214" s="174"/>
    </row>
    <row r="215" spans="1:13" ht="15" customHeight="1">
      <c r="A215" s="366"/>
      <c r="B215" s="366"/>
      <c r="C215" s="359"/>
      <c r="D215" s="147" t="s">
        <v>15</v>
      </c>
      <c r="E215" s="147">
        <v>1</v>
      </c>
      <c r="F215" s="147"/>
      <c r="G215" s="147">
        <v>1</v>
      </c>
      <c r="H215" s="147">
        <v>1</v>
      </c>
      <c r="I215" s="64"/>
      <c r="J215" s="64"/>
      <c r="K215" s="139">
        <v>1931</v>
      </c>
      <c r="L215" s="65">
        <v>2</v>
      </c>
      <c r="M215" s="174"/>
    </row>
    <row r="216" spans="1:13" ht="15" customHeight="1">
      <c r="A216" s="366"/>
      <c r="B216" s="366"/>
      <c r="C216" s="359"/>
      <c r="D216" s="147" t="s">
        <v>15</v>
      </c>
      <c r="E216" s="147">
        <v>1</v>
      </c>
      <c r="F216" s="147">
        <v>1</v>
      </c>
      <c r="G216" s="147"/>
      <c r="H216" s="147">
        <v>1</v>
      </c>
      <c r="I216" s="64"/>
      <c r="J216" s="64"/>
      <c r="K216" s="139">
        <v>1934</v>
      </c>
      <c r="L216" s="164">
        <v>32</v>
      </c>
      <c r="M216" s="174"/>
    </row>
    <row r="217" spans="1:13" ht="15" customHeight="1">
      <c r="A217" s="366"/>
      <c r="B217" s="366"/>
      <c r="C217" s="359"/>
      <c r="D217" s="147" t="s">
        <v>15</v>
      </c>
      <c r="E217" s="147">
        <v>1</v>
      </c>
      <c r="F217" s="147">
        <v>1</v>
      </c>
      <c r="G217" s="147"/>
      <c r="H217" s="147">
        <v>1</v>
      </c>
      <c r="I217" s="64"/>
      <c r="J217" s="64"/>
      <c r="K217" s="139">
        <v>1938</v>
      </c>
      <c r="L217" s="164">
        <v>106</v>
      </c>
      <c r="M217" s="174"/>
    </row>
    <row r="218" spans="1:13" ht="15" customHeight="1">
      <c r="A218" s="366"/>
      <c r="B218" s="366"/>
      <c r="C218" s="359"/>
      <c r="D218" s="147" t="s">
        <v>15</v>
      </c>
      <c r="E218" s="147">
        <v>1</v>
      </c>
      <c r="F218" s="147"/>
      <c r="G218" s="147">
        <v>1</v>
      </c>
      <c r="H218" s="147">
        <v>1</v>
      </c>
      <c r="I218" s="64"/>
      <c r="J218" s="64"/>
      <c r="K218" s="139">
        <v>1928</v>
      </c>
      <c r="L218" s="164">
        <v>68</v>
      </c>
      <c r="M218" s="174"/>
    </row>
    <row r="219" spans="1:13" ht="15" customHeight="1">
      <c r="A219" s="366"/>
      <c r="B219" s="366"/>
      <c r="C219" s="359"/>
      <c r="D219" s="147" t="s">
        <v>15</v>
      </c>
      <c r="E219" s="147">
        <v>1</v>
      </c>
      <c r="F219" s="147"/>
      <c r="G219" s="147">
        <v>1</v>
      </c>
      <c r="H219" s="147">
        <v>1</v>
      </c>
      <c r="I219" s="64"/>
      <c r="J219" s="64"/>
      <c r="K219" s="139">
        <v>1925</v>
      </c>
      <c r="L219" s="164">
        <v>60</v>
      </c>
      <c r="M219" s="174"/>
    </row>
    <row r="220" spans="1:13" ht="15" customHeight="1">
      <c r="A220" s="366"/>
      <c r="B220" s="366"/>
      <c r="C220" s="359"/>
      <c r="D220" s="147" t="s">
        <v>15</v>
      </c>
      <c r="E220" s="147">
        <v>1</v>
      </c>
      <c r="F220" s="147"/>
      <c r="G220" s="147">
        <v>1</v>
      </c>
      <c r="H220" s="147">
        <v>1</v>
      </c>
      <c r="I220" s="64"/>
      <c r="J220" s="64"/>
      <c r="K220" s="139">
        <v>1939</v>
      </c>
      <c r="L220" s="164">
        <v>0</v>
      </c>
      <c r="M220" s="174"/>
    </row>
    <row r="221" spans="1:13" ht="15" customHeight="1">
      <c r="A221" s="366"/>
      <c r="B221" s="366"/>
      <c r="C221" s="359"/>
      <c r="D221" s="147" t="s">
        <v>15</v>
      </c>
      <c r="E221" s="147">
        <v>1</v>
      </c>
      <c r="F221" s="147"/>
      <c r="G221" s="147">
        <v>1</v>
      </c>
      <c r="H221" s="147">
        <v>1</v>
      </c>
      <c r="I221" s="64"/>
      <c r="J221" s="64"/>
      <c r="K221" s="139">
        <v>1920</v>
      </c>
      <c r="L221" s="164">
        <v>104</v>
      </c>
      <c r="M221" s="174"/>
    </row>
    <row r="222" spans="1:13" ht="15" customHeight="1">
      <c r="A222" s="366"/>
      <c r="B222" s="366"/>
      <c r="C222" s="359"/>
      <c r="D222" s="147" t="s">
        <v>15</v>
      </c>
      <c r="E222" s="147">
        <v>1</v>
      </c>
      <c r="F222" s="147"/>
      <c r="G222" s="147">
        <v>1</v>
      </c>
      <c r="H222" s="147">
        <v>1</v>
      </c>
      <c r="I222" s="64"/>
      <c r="J222" s="64"/>
      <c r="K222" s="139">
        <v>1940</v>
      </c>
      <c r="L222" s="164">
        <v>153</v>
      </c>
      <c r="M222" s="174"/>
    </row>
    <row r="223" spans="1:13" ht="15" customHeight="1">
      <c r="A223" s="366"/>
      <c r="B223" s="366"/>
      <c r="C223" s="359"/>
      <c r="D223" s="147" t="s">
        <v>15</v>
      </c>
      <c r="E223" s="147">
        <v>1</v>
      </c>
      <c r="F223" s="147"/>
      <c r="G223" s="147">
        <v>1</v>
      </c>
      <c r="H223" s="147">
        <v>1</v>
      </c>
      <c r="I223" s="64"/>
      <c r="J223" s="64"/>
      <c r="K223" s="139">
        <v>1921</v>
      </c>
      <c r="L223" s="164">
        <v>70</v>
      </c>
      <c r="M223" s="174"/>
    </row>
    <row r="224" spans="1:13" ht="15" customHeight="1">
      <c r="A224" s="366"/>
      <c r="B224" s="366"/>
      <c r="C224" s="359"/>
      <c r="D224" s="147" t="s">
        <v>15</v>
      </c>
      <c r="E224" s="147">
        <v>1</v>
      </c>
      <c r="F224" s="147"/>
      <c r="G224" s="147">
        <v>1</v>
      </c>
      <c r="H224" s="147">
        <v>1</v>
      </c>
      <c r="I224" s="64"/>
      <c r="J224" s="64"/>
      <c r="K224" s="139">
        <v>1924</v>
      </c>
      <c r="L224" s="164">
        <v>195</v>
      </c>
      <c r="M224" s="174"/>
    </row>
    <row r="225" spans="1:13" ht="15" customHeight="1">
      <c r="A225" s="366"/>
      <c r="B225" s="366"/>
      <c r="C225" s="359"/>
      <c r="D225" s="147" t="s">
        <v>15</v>
      </c>
      <c r="E225" s="147">
        <v>1</v>
      </c>
      <c r="F225" s="147"/>
      <c r="G225" s="147">
        <v>1</v>
      </c>
      <c r="H225" s="147">
        <v>1</v>
      </c>
      <c r="I225" s="64"/>
      <c r="J225" s="64"/>
      <c r="K225" s="139">
        <v>1915</v>
      </c>
      <c r="L225" s="65">
        <v>3</v>
      </c>
      <c r="M225" s="174"/>
    </row>
    <row r="226" spans="1:13" ht="15" customHeight="1">
      <c r="A226" s="366"/>
      <c r="B226" s="366"/>
      <c r="C226" s="359"/>
      <c r="D226" s="147" t="s">
        <v>15</v>
      </c>
      <c r="E226" s="147">
        <v>1</v>
      </c>
      <c r="F226" s="147">
        <v>1</v>
      </c>
      <c r="G226" s="147"/>
      <c r="H226" s="147">
        <v>1</v>
      </c>
      <c r="I226" s="64"/>
      <c r="J226" s="64"/>
      <c r="K226" s="139">
        <v>1945</v>
      </c>
      <c r="L226" s="65">
        <v>19</v>
      </c>
      <c r="M226" s="174"/>
    </row>
    <row r="227" spans="1:13" ht="15" customHeight="1">
      <c r="A227" s="366"/>
      <c r="B227" s="366"/>
      <c r="C227" s="359"/>
      <c r="D227" s="147" t="s">
        <v>15</v>
      </c>
      <c r="E227" s="147">
        <v>1</v>
      </c>
      <c r="F227" s="147"/>
      <c r="G227" s="147">
        <v>1</v>
      </c>
      <c r="H227" s="147">
        <v>1</v>
      </c>
      <c r="I227" s="64"/>
      <c r="J227" s="64"/>
      <c r="K227" s="139">
        <v>1924</v>
      </c>
      <c r="L227" s="164">
        <v>116</v>
      </c>
      <c r="M227" s="174"/>
    </row>
    <row r="228" spans="1:13" ht="15" customHeight="1">
      <c r="A228" s="366"/>
      <c r="B228" s="366"/>
      <c r="C228" s="359"/>
      <c r="D228" s="147" t="s">
        <v>15</v>
      </c>
      <c r="E228" s="147">
        <v>1</v>
      </c>
      <c r="F228" s="147"/>
      <c r="G228" s="147">
        <v>1</v>
      </c>
      <c r="H228" s="147">
        <v>1</v>
      </c>
      <c r="I228" s="64"/>
      <c r="J228" s="64"/>
      <c r="K228" s="139">
        <v>1939</v>
      </c>
      <c r="L228" s="164">
        <v>169</v>
      </c>
      <c r="M228" s="174"/>
    </row>
    <row r="229" spans="1:13" ht="15" customHeight="1">
      <c r="A229" s="366"/>
      <c r="B229" s="366"/>
      <c r="C229" s="359"/>
      <c r="D229" s="147" t="s">
        <v>15</v>
      </c>
      <c r="E229" s="147">
        <v>1</v>
      </c>
      <c r="F229" s="147"/>
      <c r="G229" s="147">
        <v>1</v>
      </c>
      <c r="H229" s="147">
        <v>1</v>
      </c>
      <c r="I229" s="64"/>
      <c r="J229" s="64"/>
      <c r="K229" s="139">
        <v>1921</v>
      </c>
      <c r="L229" s="164">
        <v>83</v>
      </c>
      <c r="M229" s="174"/>
    </row>
    <row r="230" spans="1:13" ht="15" customHeight="1">
      <c r="A230" s="366"/>
      <c r="B230" s="366"/>
      <c r="C230" s="359"/>
      <c r="D230" s="147" t="s">
        <v>15</v>
      </c>
      <c r="E230" s="147">
        <v>1</v>
      </c>
      <c r="F230" s="147">
        <v>1</v>
      </c>
      <c r="G230" s="147"/>
      <c r="H230" s="147">
        <v>1</v>
      </c>
      <c r="I230" s="64"/>
      <c r="J230" s="64"/>
      <c r="K230" s="139">
        <v>1927</v>
      </c>
      <c r="L230" s="164">
        <v>29</v>
      </c>
      <c r="M230" s="174"/>
    </row>
    <row r="231" spans="1:13" ht="15" customHeight="1">
      <c r="A231" s="366"/>
      <c r="B231" s="366"/>
      <c r="C231" s="359"/>
      <c r="D231" s="147" t="s">
        <v>15</v>
      </c>
      <c r="E231" s="147">
        <v>1</v>
      </c>
      <c r="F231" s="147"/>
      <c r="G231" s="147">
        <v>1</v>
      </c>
      <c r="H231" s="147">
        <v>1</v>
      </c>
      <c r="I231" s="64"/>
      <c r="J231" s="64"/>
      <c r="K231" s="139">
        <v>1936</v>
      </c>
      <c r="L231" s="164">
        <v>89</v>
      </c>
      <c r="M231" s="174"/>
    </row>
    <row r="232" spans="1:13" ht="15" customHeight="1">
      <c r="A232" s="366"/>
      <c r="B232" s="366"/>
      <c r="C232" s="359"/>
      <c r="D232" s="147" t="s">
        <v>15</v>
      </c>
      <c r="E232" s="147">
        <v>1</v>
      </c>
      <c r="F232" s="147"/>
      <c r="G232" s="147">
        <v>1</v>
      </c>
      <c r="H232" s="147">
        <v>1</v>
      </c>
      <c r="I232" s="64"/>
      <c r="J232" s="64"/>
      <c r="K232" s="139">
        <v>1923</v>
      </c>
      <c r="L232" s="164">
        <v>129</v>
      </c>
      <c r="M232" s="174"/>
    </row>
    <row r="233" spans="1:13" ht="15" customHeight="1">
      <c r="A233" s="366"/>
      <c r="B233" s="366"/>
      <c r="C233" s="359"/>
      <c r="D233" s="147" t="s">
        <v>15</v>
      </c>
      <c r="E233" s="147">
        <v>1</v>
      </c>
      <c r="F233" s="147">
        <v>1</v>
      </c>
      <c r="G233" s="147"/>
      <c r="H233" s="147">
        <v>1</v>
      </c>
      <c r="I233" s="64"/>
      <c r="J233" s="64"/>
      <c r="K233" s="139">
        <v>1928</v>
      </c>
      <c r="L233" s="164">
        <v>188</v>
      </c>
      <c r="M233" s="174"/>
    </row>
    <row r="234" spans="1:13" ht="15" customHeight="1">
      <c r="A234" s="366"/>
      <c r="B234" s="366"/>
      <c r="C234" s="359"/>
      <c r="D234" s="147" t="s">
        <v>15</v>
      </c>
      <c r="E234" s="147">
        <v>1</v>
      </c>
      <c r="F234" s="147"/>
      <c r="G234" s="147">
        <v>1</v>
      </c>
      <c r="H234" s="147">
        <v>1</v>
      </c>
      <c r="I234" s="64"/>
      <c r="J234" s="64"/>
      <c r="K234" s="139">
        <v>1923</v>
      </c>
      <c r="L234" s="65">
        <v>28</v>
      </c>
      <c r="M234" s="174"/>
    </row>
    <row r="235" spans="1:13" ht="15" customHeight="1">
      <c r="A235" s="366"/>
      <c r="B235" s="366"/>
      <c r="C235" s="359"/>
      <c r="D235" s="147" t="s">
        <v>15</v>
      </c>
      <c r="E235" s="147">
        <v>1</v>
      </c>
      <c r="F235" s="147">
        <v>1</v>
      </c>
      <c r="G235" s="147"/>
      <c r="H235" s="147">
        <v>1</v>
      </c>
      <c r="I235" s="64"/>
      <c r="J235" s="64"/>
      <c r="K235" s="139">
        <v>1920</v>
      </c>
      <c r="L235" s="164">
        <v>109</v>
      </c>
      <c r="M235" s="174"/>
    </row>
    <row r="236" spans="1:13" ht="15" customHeight="1">
      <c r="A236" s="366"/>
      <c r="B236" s="366"/>
      <c r="C236" s="359"/>
      <c r="D236" s="147" t="s">
        <v>15</v>
      </c>
      <c r="E236" s="147">
        <v>1</v>
      </c>
      <c r="F236" s="147"/>
      <c r="G236" s="147">
        <v>1</v>
      </c>
      <c r="H236" s="147">
        <v>1</v>
      </c>
      <c r="I236" s="64"/>
      <c r="J236" s="64"/>
      <c r="K236" s="139">
        <v>1925</v>
      </c>
      <c r="L236" s="164">
        <v>158</v>
      </c>
      <c r="M236" s="174"/>
    </row>
    <row r="237" spans="1:13" ht="15" customHeight="1">
      <c r="A237" s="366"/>
      <c r="B237" s="366"/>
      <c r="C237" s="359"/>
      <c r="D237" s="147" t="s">
        <v>15</v>
      </c>
      <c r="E237" s="147">
        <v>1</v>
      </c>
      <c r="F237" s="147"/>
      <c r="G237" s="147">
        <v>1</v>
      </c>
      <c r="H237" s="147">
        <v>1</v>
      </c>
      <c r="I237" s="64"/>
      <c r="J237" s="64"/>
      <c r="K237" s="139">
        <v>1941</v>
      </c>
      <c r="L237" s="164">
        <v>169</v>
      </c>
      <c r="M237" s="174"/>
    </row>
    <row r="238" spans="1:13" ht="15" customHeight="1">
      <c r="A238" s="366"/>
      <c r="B238" s="366"/>
      <c r="C238" s="359"/>
      <c r="D238" s="147" t="s">
        <v>15</v>
      </c>
      <c r="E238" s="147">
        <v>1</v>
      </c>
      <c r="F238" s="147"/>
      <c r="G238" s="147">
        <v>1</v>
      </c>
      <c r="H238" s="147">
        <v>1</v>
      </c>
      <c r="I238" s="64"/>
      <c r="J238" s="64"/>
      <c r="K238" s="139">
        <v>1922</v>
      </c>
      <c r="L238" s="164">
        <v>80</v>
      </c>
      <c r="M238" s="174"/>
    </row>
    <row r="239" spans="1:15" ht="15" customHeight="1">
      <c r="A239" s="392" t="s">
        <v>193</v>
      </c>
      <c r="B239" s="394"/>
      <c r="C239" s="254"/>
      <c r="D239" s="72"/>
      <c r="E239" s="84">
        <f>SUM(E199:E238)</f>
        <v>40</v>
      </c>
      <c r="F239" s="84">
        <f>SUM(F199:F238)</f>
        <v>9</v>
      </c>
      <c r="G239" s="84">
        <f>SUM(G199:G238)</f>
        <v>31</v>
      </c>
      <c r="H239" s="84">
        <f>SUM(H199:H238)</f>
        <v>40</v>
      </c>
      <c r="I239" s="84"/>
      <c r="J239" s="84"/>
      <c r="K239" s="84"/>
      <c r="L239" s="84">
        <f>SUM(L199:L238)</f>
        <v>3936</v>
      </c>
      <c r="M239" s="255">
        <f>268153.85-10534</f>
        <v>257619.84999999998</v>
      </c>
      <c r="O239" s="126"/>
    </row>
    <row r="240" spans="1:13" ht="15" customHeight="1">
      <c r="A240" s="366"/>
      <c r="B240" s="366"/>
      <c r="C240" s="359"/>
      <c r="D240" s="147" t="s">
        <v>16</v>
      </c>
      <c r="E240" s="147">
        <v>1</v>
      </c>
      <c r="F240" s="147"/>
      <c r="G240" s="147">
        <v>1</v>
      </c>
      <c r="H240" s="147">
        <v>1</v>
      </c>
      <c r="I240" s="63"/>
      <c r="J240" s="63"/>
      <c r="K240" s="139">
        <v>1930</v>
      </c>
      <c r="L240" s="164">
        <v>9</v>
      </c>
      <c r="M240" s="174"/>
    </row>
    <row r="241" spans="1:13" ht="15" customHeight="1">
      <c r="A241" s="366"/>
      <c r="B241" s="366"/>
      <c r="C241" s="359"/>
      <c r="D241" s="147" t="s">
        <v>16</v>
      </c>
      <c r="E241" s="147">
        <v>1</v>
      </c>
      <c r="F241" s="147"/>
      <c r="G241" s="147">
        <v>1</v>
      </c>
      <c r="H241" s="147">
        <v>1</v>
      </c>
      <c r="I241" s="63"/>
      <c r="J241" s="63"/>
      <c r="K241" s="139">
        <v>1938</v>
      </c>
      <c r="L241" s="164">
        <v>93</v>
      </c>
      <c r="M241" s="174"/>
    </row>
    <row r="242" spans="1:13" ht="15" customHeight="1">
      <c r="A242" s="366"/>
      <c r="B242" s="366"/>
      <c r="C242" s="359"/>
      <c r="D242" s="147" t="s">
        <v>16</v>
      </c>
      <c r="E242" s="147">
        <v>1</v>
      </c>
      <c r="F242" s="147">
        <v>1</v>
      </c>
      <c r="G242" s="147"/>
      <c r="H242" s="147">
        <v>1</v>
      </c>
      <c r="I242" s="63"/>
      <c r="J242" s="63"/>
      <c r="K242" s="139">
        <v>1938</v>
      </c>
      <c r="L242" s="164">
        <v>43</v>
      </c>
      <c r="M242" s="174"/>
    </row>
    <row r="243" spans="1:13" ht="15" customHeight="1">
      <c r="A243" s="366"/>
      <c r="B243" s="366"/>
      <c r="C243" s="359"/>
      <c r="D243" s="147" t="s">
        <v>16</v>
      </c>
      <c r="E243" s="147">
        <v>1</v>
      </c>
      <c r="F243" s="147"/>
      <c r="G243" s="147">
        <v>1</v>
      </c>
      <c r="H243" s="147">
        <v>1</v>
      </c>
      <c r="I243" s="63"/>
      <c r="J243" s="63"/>
      <c r="K243" s="139">
        <v>1921</v>
      </c>
      <c r="L243" s="164">
        <v>40</v>
      </c>
      <c r="M243" s="174"/>
    </row>
    <row r="244" spans="1:13" ht="15" customHeight="1">
      <c r="A244" s="366"/>
      <c r="B244" s="366"/>
      <c r="C244" s="359"/>
      <c r="D244" s="147" t="s">
        <v>16</v>
      </c>
      <c r="E244" s="147">
        <v>1</v>
      </c>
      <c r="F244" s="147">
        <v>1</v>
      </c>
      <c r="G244" s="147"/>
      <c r="H244" s="147">
        <v>1</v>
      </c>
      <c r="I244" s="63"/>
      <c r="J244" s="63"/>
      <c r="K244" s="139">
        <v>1929</v>
      </c>
      <c r="L244" s="164">
        <v>197</v>
      </c>
      <c r="M244" s="174"/>
    </row>
    <row r="245" spans="1:13" ht="15">
      <c r="A245" s="366"/>
      <c r="B245" s="366"/>
      <c r="C245" s="359"/>
      <c r="D245" s="147" t="s">
        <v>16</v>
      </c>
      <c r="E245" s="147">
        <v>1</v>
      </c>
      <c r="F245" s="147"/>
      <c r="G245" s="147">
        <v>1</v>
      </c>
      <c r="H245" s="147">
        <v>1</v>
      </c>
      <c r="I245" s="63"/>
      <c r="J245" s="63"/>
      <c r="K245" s="139">
        <v>1929</v>
      </c>
      <c r="L245" s="164">
        <v>49</v>
      </c>
      <c r="M245" s="174"/>
    </row>
    <row r="246" spans="1:13" ht="15">
      <c r="A246" s="366"/>
      <c r="B246" s="366"/>
      <c r="C246" s="359"/>
      <c r="D246" s="147" t="s">
        <v>16</v>
      </c>
      <c r="E246" s="147">
        <v>1</v>
      </c>
      <c r="F246" s="147">
        <v>1</v>
      </c>
      <c r="G246" s="147"/>
      <c r="H246" s="147">
        <v>1</v>
      </c>
      <c r="I246" s="63"/>
      <c r="J246" s="63"/>
      <c r="K246" s="139">
        <v>1933</v>
      </c>
      <c r="L246" s="164">
        <v>65</v>
      </c>
      <c r="M246" s="174"/>
    </row>
    <row r="247" spans="1:13" ht="15">
      <c r="A247" s="366"/>
      <c r="B247" s="366"/>
      <c r="C247" s="359"/>
      <c r="D247" s="147" t="s">
        <v>16</v>
      </c>
      <c r="E247" s="147">
        <v>1</v>
      </c>
      <c r="F247" s="147"/>
      <c r="G247" s="147">
        <v>1</v>
      </c>
      <c r="H247" s="147">
        <v>1</v>
      </c>
      <c r="I247" s="63"/>
      <c r="J247" s="63"/>
      <c r="K247" s="139">
        <v>1935</v>
      </c>
      <c r="L247" s="164">
        <v>211</v>
      </c>
      <c r="M247" s="174"/>
    </row>
    <row r="248" spans="1:13" ht="15">
      <c r="A248" s="366"/>
      <c r="B248" s="366"/>
      <c r="C248" s="359"/>
      <c r="D248" s="147" t="s">
        <v>16</v>
      </c>
      <c r="E248" s="147">
        <v>1</v>
      </c>
      <c r="F248" s="147"/>
      <c r="G248" s="147">
        <v>1</v>
      </c>
      <c r="H248" s="147">
        <v>1</v>
      </c>
      <c r="I248" s="63"/>
      <c r="J248" s="63"/>
      <c r="K248" s="139">
        <v>1928</v>
      </c>
      <c r="L248" s="164">
        <v>19</v>
      </c>
      <c r="M248" s="174"/>
    </row>
    <row r="249" spans="1:13" ht="15">
      <c r="A249" s="366"/>
      <c r="B249" s="366"/>
      <c r="C249" s="359"/>
      <c r="D249" s="147" t="s">
        <v>16</v>
      </c>
      <c r="E249" s="147">
        <v>1</v>
      </c>
      <c r="F249" s="147"/>
      <c r="G249" s="147">
        <v>1</v>
      </c>
      <c r="H249" s="147">
        <v>1</v>
      </c>
      <c r="I249" s="63"/>
      <c r="J249" s="63"/>
      <c r="K249" s="139">
        <v>1928</v>
      </c>
      <c r="L249" s="164">
        <v>72</v>
      </c>
      <c r="M249" s="174"/>
    </row>
    <row r="250" spans="1:13" ht="15">
      <c r="A250" s="366"/>
      <c r="B250" s="366"/>
      <c r="C250" s="359"/>
      <c r="D250" s="147" t="s">
        <v>16</v>
      </c>
      <c r="E250" s="147">
        <v>1</v>
      </c>
      <c r="F250" s="147"/>
      <c r="G250" s="147">
        <v>1</v>
      </c>
      <c r="H250" s="147">
        <v>1</v>
      </c>
      <c r="I250" s="63"/>
      <c r="J250" s="63"/>
      <c r="K250" s="139">
        <v>1933</v>
      </c>
      <c r="L250" s="164">
        <v>14</v>
      </c>
      <c r="M250" s="174"/>
    </row>
    <row r="251" spans="1:13" ht="15">
      <c r="A251" s="366"/>
      <c r="B251" s="366"/>
      <c r="C251" s="359"/>
      <c r="D251" s="147" t="s">
        <v>16</v>
      </c>
      <c r="E251" s="147">
        <v>1</v>
      </c>
      <c r="F251" s="147"/>
      <c r="G251" s="147">
        <v>1</v>
      </c>
      <c r="H251" s="147">
        <v>1</v>
      </c>
      <c r="I251" s="63"/>
      <c r="J251" s="63"/>
      <c r="K251" s="139">
        <v>1921</v>
      </c>
      <c r="L251" s="164">
        <v>176</v>
      </c>
      <c r="M251" s="174"/>
    </row>
    <row r="252" spans="1:13" ht="15">
      <c r="A252" s="366"/>
      <c r="B252" s="366"/>
      <c r="C252" s="359"/>
      <c r="D252" s="147" t="s">
        <v>16</v>
      </c>
      <c r="E252" s="147">
        <v>1</v>
      </c>
      <c r="F252" s="147">
        <v>1</v>
      </c>
      <c r="G252" s="147"/>
      <c r="H252" s="147">
        <v>1</v>
      </c>
      <c r="I252" s="63"/>
      <c r="J252" s="63"/>
      <c r="K252" s="139">
        <v>1928</v>
      </c>
      <c r="L252" s="164">
        <v>35</v>
      </c>
      <c r="M252" s="174"/>
    </row>
    <row r="253" spans="1:13" ht="15">
      <c r="A253" s="366"/>
      <c r="B253" s="366"/>
      <c r="C253" s="359"/>
      <c r="D253" s="147" t="s">
        <v>16</v>
      </c>
      <c r="E253" s="147">
        <v>1</v>
      </c>
      <c r="F253" s="147">
        <v>1</v>
      </c>
      <c r="G253" s="147"/>
      <c r="H253" s="147">
        <v>1</v>
      </c>
      <c r="I253" s="63"/>
      <c r="J253" s="63"/>
      <c r="K253" s="139">
        <v>1927</v>
      </c>
      <c r="L253" s="164">
        <v>175</v>
      </c>
      <c r="M253" s="174"/>
    </row>
    <row r="254" spans="1:13" ht="15">
      <c r="A254" s="366"/>
      <c r="B254" s="366"/>
      <c r="C254" s="359"/>
      <c r="D254" s="147" t="s">
        <v>16</v>
      </c>
      <c r="E254" s="147">
        <v>1</v>
      </c>
      <c r="F254" s="147"/>
      <c r="G254" s="147">
        <v>1</v>
      </c>
      <c r="H254" s="147">
        <v>1</v>
      </c>
      <c r="I254" s="63"/>
      <c r="J254" s="63"/>
      <c r="K254" s="139">
        <v>1927</v>
      </c>
      <c r="L254" s="164">
        <v>33</v>
      </c>
      <c r="M254" s="174"/>
    </row>
    <row r="255" spans="1:13" ht="15">
      <c r="A255" s="366"/>
      <c r="B255" s="366"/>
      <c r="C255" s="359"/>
      <c r="D255" s="147" t="s">
        <v>16</v>
      </c>
      <c r="E255" s="147">
        <v>1</v>
      </c>
      <c r="F255" s="147"/>
      <c r="G255" s="147">
        <v>1</v>
      </c>
      <c r="H255" s="147">
        <v>1</v>
      </c>
      <c r="I255" s="63"/>
      <c r="J255" s="63"/>
      <c r="K255" s="139">
        <v>1930</v>
      </c>
      <c r="L255" s="164">
        <v>19</v>
      </c>
      <c r="M255" s="174"/>
    </row>
    <row r="256" spans="1:13" ht="15">
      <c r="A256" s="366"/>
      <c r="B256" s="366"/>
      <c r="C256" s="359"/>
      <c r="D256" s="147" t="s">
        <v>16</v>
      </c>
      <c r="E256" s="147">
        <v>1</v>
      </c>
      <c r="F256" s="147"/>
      <c r="G256" s="147">
        <v>1</v>
      </c>
      <c r="H256" s="147">
        <v>1</v>
      </c>
      <c r="I256" s="63"/>
      <c r="J256" s="63"/>
      <c r="K256" s="139">
        <v>1927</v>
      </c>
      <c r="L256" s="164">
        <v>138</v>
      </c>
      <c r="M256" s="174"/>
    </row>
    <row r="257" spans="1:13" ht="15">
      <c r="A257" s="366"/>
      <c r="B257" s="366"/>
      <c r="C257" s="359"/>
      <c r="D257" s="147" t="s">
        <v>16</v>
      </c>
      <c r="E257" s="147">
        <v>1</v>
      </c>
      <c r="F257" s="147"/>
      <c r="G257" s="147">
        <v>1</v>
      </c>
      <c r="H257" s="147">
        <v>1</v>
      </c>
      <c r="I257" s="63"/>
      <c r="J257" s="63"/>
      <c r="K257" s="139">
        <v>1928</v>
      </c>
      <c r="L257" s="164">
        <v>202</v>
      </c>
      <c r="M257" s="174"/>
    </row>
    <row r="258" spans="1:13" ht="15">
      <c r="A258" s="366"/>
      <c r="B258" s="366"/>
      <c r="C258" s="359"/>
      <c r="D258" s="147" t="s">
        <v>16</v>
      </c>
      <c r="E258" s="147">
        <v>1</v>
      </c>
      <c r="F258" s="147"/>
      <c r="G258" s="147">
        <v>1</v>
      </c>
      <c r="H258" s="147">
        <v>1</v>
      </c>
      <c r="I258" s="63"/>
      <c r="J258" s="63"/>
      <c r="K258" s="139">
        <v>1917</v>
      </c>
      <c r="L258" s="164">
        <v>203</v>
      </c>
      <c r="M258" s="174"/>
    </row>
    <row r="259" spans="1:13" ht="15">
      <c r="A259" s="366"/>
      <c r="B259" s="366"/>
      <c r="C259" s="359"/>
      <c r="D259" s="147" t="s">
        <v>16</v>
      </c>
      <c r="E259" s="147">
        <v>1</v>
      </c>
      <c r="F259" s="147"/>
      <c r="G259" s="147">
        <v>1</v>
      </c>
      <c r="H259" s="147">
        <v>1</v>
      </c>
      <c r="I259" s="63"/>
      <c r="J259" s="63"/>
      <c r="K259" s="139">
        <v>1933</v>
      </c>
      <c r="L259" s="164">
        <v>12</v>
      </c>
      <c r="M259" s="174"/>
    </row>
    <row r="260" spans="1:13" ht="15">
      <c r="A260" s="366"/>
      <c r="B260" s="366"/>
      <c r="C260" s="359"/>
      <c r="D260" s="147" t="s">
        <v>16</v>
      </c>
      <c r="E260" s="147">
        <v>1</v>
      </c>
      <c r="F260" s="147"/>
      <c r="G260" s="147">
        <v>1</v>
      </c>
      <c r="H260" s="147">
        <v>1</v>
      </c>
      <c r="I260" s="63"/>
      <c r="J260" s="63"/>
      <c r="K260" s="139">
        <v>1929</v>
      </c>
      <c r="L260" s="164">
        <v>16</v>
      </c>
      <c r="M260" s="174"/>
    </row>
    <row r="261" spans="1:13" ht="15">
      <c r="A261" s="366"/>
      <c r="B261" s="366"/>
      <c r="C261" s="359"/>
      <c r="D261" s="147" t="s">
        <v>16</v>
      </c>
      <c r="E261" s="147">
        <v>1</v>
      </c>
      <c r="F261" s="147"/>
      <c r="G261" s="147">
        <v>1</v>
      </c>
      <c r="H261" s="147">
        <v>1</v>
      </c>
      <c r="I261" s="63"/>
      <c r="J261" s="63"/>
      <c r="K261" s="139">
        <v>1928</v>
      </c>
      <c r="L261" s="164">
        <v>81</v>
      </c>
      <c r="M261" s="174"/>
    </row>
    <row r="262" spans="1:13" ht="15">
      <c r="A262" s="366"/>
      <c r="B262" s="366"/>
      <c r="C262" s="359"/>
      <c r="D262" s="147" t="s">
        <v>16</v>
      </c>
      <c r="E262" s="147">
        <v>1</v>
      </c>
      <c r="F262" s="147"/>
      <c r="G262" s="147">
        <v>1</v>
      </c>
      <c r="H262" s="147">
        <v>1</v>
      </c>
      <c r="I262" s="63"/>
      <c r="J262" s="63"/>
      <c r="K262" s="139">
        <v>1929</v>
      </c>
      <c r="L262" s="164">
        <v>192</v>
      </c>
      <c r="M262" s="174"/>
    </row>
    <row r="263" spans="1:13" ht="15">
      <c r="A263" s="366"/>
      <c r="B263" s="366"/>
      <c r="C263" s="359"/>
      <c r="D263" s="147" t="s">
        <v>16</v>
      </c>
      <c r="E263" s="147">
        <v>1</v>
      </c>
      <c r="F263" s="147"/>
      <c r="G263" s="147">
        <v>1</v>
      </c>
      <c r="H263" s="147">
        <v>1</v>
      </c>
      <c r="I263" s="63"/>
      <c r="J263" s="63"/>
      <c r="K263" s="139">
        <v>1915</v>
      </c>
      <c r="L263" s="164">
        <v>6</v>
      </c>
      <c r="M263" s="174"/>
    </row>
    <row r="264" spans="1:13" ht="15">
      <c r="A264" s="366"/>
      <c r="B264" s="366"/>
      <c r="C264" s="359"/>
      <c r="D264" s="147" t="s">
        <v>16</v>
      </c>
      <c r="E264" s="147">
        <v>1</v>
      </c>
      <c r="F264" s="147"/>
      <c r="G264" s="147">
        <v>1</v>
      </c>
      <c r="H264" s="147">
        <v>1</v>
      </c>
      <c r="I264" s="63"/>
      <c r="J264" s="63"/>
      <c r="K264" s="139">
        <v>1937</v>
      </c>
      <c r="L264" s="164">
        <v>74</v>
      </c>
      <c r="M264" s="174"/>
    </row>
    <row r="265" spans="1:13" ht="15">
      <c r="A265" s="366"/>
      <c r="B265" s="366"/>
      <c r="C265" s="359"/>
      <c r="D265" s="147" t="s">
        <v>16</v>
      </c>
      <c r="E265" s="147">
        <v>1</v>
      </c>
      <c r="F265" s="147">
        <v>1</v>
      </c>
      <c r="G265" s="147"/>
      <c r="H265" s="147">
        <v>1</v>
      </c>
      <c r="I265" s="63"/>
      <c r="J265" s="63"/>
      <c r="K265" s="139">
        <v>1932</v>
      </c>
      <c r="L265" s="164">
        <v>52</v>
      </c>
      <c r="M265" s="174"/>
    </row>
    <row r="266" spans="1:13" ht="15">
      <c r="A266" s="366"/>
      <c r="B266" s="366"/>
      <c r="C266" s="359"/>
      <c r="D266" s="147" t="s">
        <v>16</v>
      </c>
      <c r="E266" s="147">
        <v>1</v>
      </c>
      <c r="F266" s="147"/>
      <c r="G266" s="147">
        <v>1</v>
      </c>
      <c r="H266" s="147">
        <v>1</v>
      </c>
      <c r="I266" s="63"/>
      <c r="J266" s="63"/>
      <c r="K266" s="139">
        <v>1935</v>
      </c>
      <c r="L266" s="164">
        <v>98</v>
      </c>
      <c r="M266" s="174"/>
    </row>
    <row r="267" spans="1:13" ht="15">
      <c r="A267" s="366"/>
      <c r="B267" s="366"/>
      <c r="C267" s="359"/>
      <c r="D267" s="147" t="s">
        <v>16</v>
      </c>
      <c r="E267" s="147">
        <v>1</v>
      </c>
      <c r="F267" s="147"/>
      <c r="G267" s="147">
        <v>1</v>
      </c>
      <c r="H267" s="147">
        <v>1</v>
      </c>
      <c r="I267" s="63"/>
      <c r="J267" s="63"/>
      <c r="K267" s="139">
        <v>1914</v>
      </c>
      <c r="L267" s="164">
        <v>8</v>
      </c>
      <c r="M267" s="174"/>
    </row>
    <row r="268" spans="1:13" ht="15">
      <c r="A268" s="366"/>
      <c r="B268" s="366"/>
      <c r="C268" s="359"/>
      <c r="D268" s="147" t="s">
        <v>16</v>
      </c>
      <c r="E268" s="147">
        <v>1</v>
      </c>
      <c r="F268" s="147"/>
      <c r="G268" s="147">
        <v>1</v>
      </c>
      <c r="H268" s="147">
        <v>1</v>
      </c>
      <c r="I268" s="63"/>
      <c r="J268" s="63"/>
      <c r="K268" s="139">
        <v>1920</v>
      </c>
      <c r="L268" s="164">
        <v>3</v>
      </c>
      <c r="M268" s="174"/>
    </row>
    <row r="269" spans="1:13" ht="15">
      <c r="A269" s="366"/>
      <c r="B269" s="366"/>
      <c r="C269" s="359"/>
      <c r="D269" s="147" t="s">
        <v>16</v>
      </c>
      <c r="E269" s="147">
        <v>1</v>
      </c>
      <c r="F269" s="147"/>
      <c r="G269" s="147">
        <v>1</v>
      </c>
      <c r="H269" s="147">
        <v>1</v>
      </c>
      <c r="I269" s="63"/>
      <c r="J269" s="63"/>
      <c r="K269" s="139">
        <v>1916</v>
      </c>
      <c r="L269" s="164">
        <v>11</v>
      </c>
      <c r="M269" s="174"/>
    </row>
    <row r="270" spans="1:13" ht="15">
      <c r="A270" s="366"/>
      <c r="B270" s="366"/>
      <c r="C270" s="359"/>
      <c r="D270" s="147" t="s">
        <v>16</v>
      </c>
      <c r="E270" s="147">
        <v>1</v>
      </c>
      <c r="F270" s="147">
        <v>1</v>
      </c>
      <c r="G270" s="147"/>
      <c r="H270" s="147">
        <v>1</v>
      </c>
      <c r="I270" s="63"/>
      <c r="J270" s="63"/>
      <c r="K270" s="139">
        <v>1936</v>
      </c>
      <c r="L270" s="164">
        <v>80</v>
      </c>
      <c r="M270" s="174"/>
    </row>
    <row r="271" spans="1:13" ht="15">
      <c r="A271" s="366"/>
      <c r="B271" s="366"/>
      <c r="C271" s="359"/>
      <c r="D271" s="147" t="s">
        <v>16</v>
      </c>
      <c r="E271" s="147">
        <v>1</v>
      </c>
      <c r="F271" s="147"/>
      <c r="G271" s="147">
        <v>1</v>
      </c>
      <c r="H271" s="147">
        <v>1</v>
      </c>
      <c r="I271" s="63"/>
      <c r="J271" s="63"/>
      <c r="K271" s="139">
        <v>1926</v>
      </c>
      <c r="L271" s="164">
        <v>131</v>
      </c>
      <c r="M271" s="174"/>
    </row>
    <row r="272" spans="1:13" ht="15">
      <c r="A272" s="366"/>
      <c r="B272" s="366"/>
      <c r="C272" s="359"/>
      <c r="D272" s="147" t="s">
        <v>16</v>
      </c>
      <c r="E272" s="147">
        <v>1</v>
      </c>
      <c r="F272" s="147"/>
      <c r="G272" s="147">
        <v>1</v>
      </c>
      <c r="H272" s="147">
        <v>1</v>
      </c>
      <c r="I272" s="63"/>
      <c r="J272" s="63"/>
      <c r="K272" s="139">
        <v>1935</v>
      </c>
      <c r="L272" s="164">
        <v>180</v>
      </c>
      <c r="M272" s="174"/>
    </row>
    <row r="273" spans="1:13" ht="15">
      <c r="A273" s="366"/>
      <c r="B273" s="366"/>
      <c r="C273" s="359"/>
      <c r="D273" s="147" t="s">
        <v>16</v>
      </c>
      <c r="E273" s="147">
        <v>1</v>
      </c>
      <c r="F273" s="147"/>
      <c r="G273" s="147">
        <v>1</v>
      </c>
      <c r="H273" s="147">
        <v>1</v>
      </c>
      <c r="I273" s="63"/>
      <c r="J273" s="63"/>
      <c r="K273" s="139">
        <v>1927</v>
      </c>
      <c r="L273" s="164">
        <v>40</v>
      </c>
      <c r="M273" s="174"/>
    </row>
    <row r="274" spans="1:13" ht="15">
      <c r="A274" s="366"/>
      <c r="B274" s="366"/>
      <c r="C274" s="359"/>
      <c r="D274" s="147" t="s">
        <v>16</v>
      </c>
      <c r="E274" s="147">
        <v>1</v>
      </c>
      <c r="F274" s="147"/>
      <c r="G274" s="147">
        <v>1</v>
      </c>
      <c r="H274" s="147">
        <v>1</v>
      </c>
      <c r="I274" s="63"/>
      <c r="J274" s="63"/>
      <c r="K274" s="139">
        <v>1928</v>
      </c>
      <c r="L274" s="164">
        <v>27</v>
      </c>
      <c r="M274" s="174"/>
    </row>
    <row r="275" spans="1:13" ht="15">
      <c r="A275" s="366"/>
      <c r="B275" s="366"/>
      <c r="C275" s="359"/>
      <c r="D275" s="147" t="s">
        <v>16</v>
      </c>
      <c r="E275" s="147">
        <v>1</v>
      </c>
      <c r="F275" s="147">
        <v>1</v>
      </c>
      <c r="G275" s="147"/>
      <c r="H275" s="147">
        <v>1</v>
      </c>
      <c r="I275" s="63"/>
      <c r="J275" s="63"/>
      <c r="K275" s="139">
        <v>1931</v>
      </c>
      <c r="L275" s="164">
        <v>53</v>
      </c>
      <c r="M275" s="174"/>
    </row>
    <row r="276" spans="1:13" ht="15">
      <c r="A276" s="366"/>
      <c r="B276" s="366"/>
      <c r="C276" s="359"/>
      <c r="D276" s="147" t="s">
        <v>16</v>
      </c>
      <c r="E276" s="147">
        <v>1</v>
      </c>
      <c r="F276" s="147"/>
      <c r="G276" s="147">
        <v>1</v>
      </c>
      <c r="H276" s="147">
        <v>1</v>
      </c>
      <c r="I276" s="63"/>
      <c r="J276" s="63"/>
      <c r="K276" s="139">
        <v>1930</v>
      </c>
      <c r="L276" s="164">
        <v>167</v>
      </c>
      <c r="M276" s="174"/>
    </row>
    <row r="277" spans="1:13" ht="15">
      <c r="A277" s="366"/>
      <c r="B277" s="366"/>
      <c r="C277" s="359"/>
      <c r="D277" s="147" t="s">
        <v>16</v>
      </c>
      <c r="E277" s="147">
        <v>1</v>
      </c>
      <c r="F277" s="147"/>
      <c r="G277" s="147">
        <v>1</v>
      </c>
      <c r="H277" s="147">
        <v>1</v>
      </c>
      <c r="I277" s="63"/>
      <c r="J277" s="63"/>
      <c r="K277" s="139">
        <v>1937</v>
      </c>
      <c r="L277" s="164">
        <v>134</v>
      </c>
      <c r="M277" s="174"/>
    </row>
    <row r="278" spans="1:13" ht="15">
      <c r="A278" s="366"/>
      <c r="B278" s="366"/>
      <c r="C278" s="359"/>
      <c r="D278" s="147" t="s">
        <v>16</v>
      </c>
      <c r="E278" s="147">
        <v>1</v>
      </c>
      <c r="F278" s="147">
        <v>1</v>
      </c>
      <c r="G278" s="147"/>
      <c r="H278" s="147">
        <v>1</v>
      </c>
      <c r="I278" s="63"/>
      <c r="J278" s="63"/>
      <c r="K278" s="139">
        <v>1925</v>
      </c>
      <c r="L278" s="164">
        <v>39</v>
      </c>
      <c r="M278" s="174"/>
    </row>
    <row r="279" spans="1:15" ht="15" customHeight="1">
      <c r="A279" s="392" t="s">
        <v>194</v>
      </c>
      <c r="B279" s="393"/>
      <c r="C279" s="254"/>
      <c r="D279" s="72"/>
      <c r="E279" s="84">
        <f>SUM(E240:E278)</f>
        <v>39</v>
      </c>
      <c r="F279" s="84">
        <f>SUM(F240:F278)</f>
        <v>9</v>
      </c>
      <c r="G279" s="84">
        <f>SUM(G240:G278)</f>
        <v>30</v>
      </c>
      <c r="H279" s="84">
        <f>SUM(H240:H278)</f>
        <v>39</v>
      </c>
      <c r="I279" s="84">
        <f>SUM(I240:I278)</f>
        <v>0</v>
      </c>
      <c r="J279" s="84"/>
      <c r="K279" s="84"/>
      <c r="L279" s="84">
        <f>SUM(L240:L278)</f>
        <v>3197</v>
      </c>
      <c r="M279" s="255">
        <f>238845.56-690</f>
        <v>238155.56</v>
      </c>
      <c r="O279" s="126"/>
    </row>
    <row r="280" spans="1:13" s="133" customFormat="1" ht="15" customHeight="1">
      <c r="A280" s="374" t="s">
        <v>100</v>
      </c>
      <c r="B280" s="374"/>
      <c r="C280" s="84"/>
      <c r="D280" s="143"/>
      <c r="E280" s="143">
        <f>E239+E279</f>
        <v>79</v>
      </c>
      <c r="F280" s="143">
        <f>F239+F279</f>
        <v>18</v>
      </c>
      <c r="G280" s="143">
        <f>G239+G279</f>
        <v>61</v>
      </c>
      <c r="H280" s="143">
        <f>H239+H279</f>
        <v>79</v>
      </c>
      <c r="I280" s="143">
        <f>SUM(I239:I279)</f>
        <v>0</v>
      </c>
      <c r="J280" s="143"/>
      <c r="K280" s="143"/>
      <c r="L280" s="143">
        <v>0</v>
      </c>
      <c r="M280" s="255">
        <f>SUM(M239+M279)</f>
        <v>495775.41</v>
      </c>
    </row>
    <row r="281" spans="1:14" s="87" customFormat="1" ht="15" customHeight="1">
      <c r="A281" s="309" t="s">
        <v>18</v>
      </c>
      <c r="B281" s="309"/>
      <c r="C281" s="72"/>
      <c r="D281" s="180"/>
      <c r="E281" s="181">
        <v>248</v>
      </c>
      <c r="F281" s="181">
        <v>82</v>
      </c>
      <c r="G281" s="181">
        <v>166</v>
      </c>
      <c r="H281" s="181">
        <v>248</v>
      </c>
      <c r="I281" s="181">
        <v>0</v>
      </c>
      <c r="J281" s="180"/>
      <c r="K281" s="180"/>
      <c r="L281" s="182">
        <v>0</v>
      </c>
      <c r="M281" s="183">
        <v>2099478.39</v>
      </c>
      <c r="N281" s="133"/>
    </row>
    <row r="283" spans="1:13" ht="18.75" customHeight="1">
      <c r="A283" s="259" t="s">
        <v>45</v>
      </c>
      <c r="B283" s="259"/>
      <c r="C283" s="259"/>
      <c r="D283" s="259"/>
      <c r="E283" s="259"/>
      <c r="F283" s="259"/>
      <c r="G283" s="259"/>
      <c r="H283" s="259"/>
      <c r="I283" s="259"/>
      <c r="J283" s="57"/>
      <c r="K283" s="57"/>
      <c r="L283" s="57"/>
      <c r="M283" s="156"/>
    </row>
    <row r="284" spans="1:9" ht="12.75">
      <c r="A284" s="390" t="s">
        <v>187</v>
      </c>
      <c r="B284" s="390"/>
      <c r="C284" s="390"/>
      <c r="D284" s="390"/>
      <c r="E284" s="390"/>
      <c r="F284" s="390"/>
      <c r="G284" s="390"/>
      <c r="H284" s="390"/>
      <c r="I284" s="390"/>
    </row>
  </sheetData>
  <mergeCells count="26">
    <mergeCell ref="A195:B195"/>
    <mergeCell ref="A239:B239"/>
    <mergeCell ref="A279:B279"/>
    <mergeCell ref="A152:B152"/>
    <mergeCell ref="A196:B196"/>
    <mergeCell ref="A284:I284"/>
    <mergeCell ref="A197:B197"/>
    <mergeCell ref="A280:B280"/>
    <mergeCell ref="A281:B281"/>
    <mergeCell ref="A151:B151"/>
    <mergeCell ref="A54:B54"/>
    <mergeCell ref="A55:B55"/>
    <mergeCell ref="A3:B3"/>
    <mergeCell ref="A7:B7"/>
    <mergeCell ref="A10:B10"/>
    <mergeCell ref="A63:B63"/>
    <mergeCell ref="A102:B102"/>
    <mergeCell ref="A150:B150"/>
    <mergeCell ref="A1:M1"/>
    <mergeCell ref="A64:B64"/>
    <mergeCell ref="A6:B6"/>
    <mergeCell ref="A9:B9"/>
    <mergeCell ref="A60:B60"/>
    <mergeCell ref="A62:B62"/>
    <mergeCell ref="A2:M2"/>
    <mergeCell ref="A59:B59"/>
  </mergeCell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codeName="Foglio11">
    <tabColor indexed="27"/>
  </sheetPr>
  <dimension ref="A1:AB37"/>
  <sheetViews>
    <sheetView workbookViewId="0" topLeftCell="A7">
      <selection activeCell="A8" sqref="A8:C12"/>
    </sheetView>
  </sheetViews>
  <sheetFormatPr defaultColWidth="9.140625" defaultRowHeight="12.75"/>
  <cols>
    <col min="1" max="2" width="20.7109375" style="44" customWidth="1"/>
    <col min="3" max="3" width="20.7109375" style="80" customWidth="1"/>
    <col min="4" max="4" width="7.7109375" style="44" customWidth="1"/>
    <col min="5" max="6" width="5.7109375" style="44" customWidth="1"/>
    <col min="7" max="8" width="9.7109375" style="44" customWidth="1"/>
    <col min="9" max="9" width="13.7109375" style="44" customWidth="1"/>
    <col min="10" max="10" width="10.140625" style="44" customWidth="1"/>
    <col min="11" max="16384" width="9.140625" style="44" customWidth="1"/>
  </cols>
  <sheetData>
    <row r="1" spans="1:10" ht="30" customHeight="1">
      <c r="A1" s="395" t="s">
        <v>72</v>
      </c>
      <c r="B1" s="395"/>
      <c r="C1" s="395"/>
      <c r="D1" s="395"/>
      <c r="E1" s="395"/>
      <c r="F1" s="395"/>
      <c r="G1" s="395"/>
      <c r="H1" s="395"/>
      <c r="I1" s="395"/>
      <c r="J1" s="395"/>
    </row>
    <row r="2" spans="1:10" ht="63" customHeight="1">
      <c r="A2" s="377" t="s">
        <v>70</v>
      </c>
      <c r="B2" s="377"/>
      <c r="C2" s="377"/>
      <c r="D2" s="377"/>
      <c r="E2" s="377"/>
      <c r="F2" s="377"/>
      <c r="G2" s="377"/>
      <c r="H2" s="377"/>
      <c r="I2" s="377"/>
      <c r="J2" s="377"/>
    </row>
    <row r="3" spans="1:10" s="87" customFormat="1" ht="15" customHeight="1">
      <c r="A3" s="381" t="s">
        <v>77</v>
      </c>
      <c r="B3" s="381"/>
      <c r="C3" s="48"/>
      <c r="D3" s="48"/>
      <c r="E3" s="48"/>
      <c r="F3" s="48"/>
      <c r="G3" s="48"/>
      <c r="H3" s="48"/>
      <c r="I3" s="48"/>
      <c r="J3" s="48"/>
    </row>
    <row r="4" spans="1:10" ht="30" customHeight="1">
      <c r="A4" s="52" t="s">
        <v>5</v>
      </c>
      <c r="B4" s="52" t="s">
        <v>1</v>
      </c>
      <c r="C4" s="52" t="s">
        <v>3</v>
      </c>
      <c r="D4" s="52" t="s">
        <v>120</v>
      </c>
      <c r="E4" s="52" t="s">
        <v>90</v>
      </c>
      <c r="F4" s="52" t="s">
        <v>91</v>
      </c>
      <c r="G4" s="52" t="s">
        <v>140</v>
      </c>
      <c r="H4" s="52" t="s">
        <v>127</v>
      </c>
      <c r="I4" s="52" t="s">
        <v>159</v>
      </c>
      <c r="J4" s="52" t="s">
        <v>119</v>
      </c>
    </row>
    <row r="5" spans="1:10" s="87" customFormat="1" ht="15" customHeight="1">
      <c r="A5" s="374" t="s">
        <v>93</v>
      </c>
      <c r="B5" s="374"/>
      <c r="C5" s="84"/>
      <c r="D5" s="143">
        <v>0</v>
      </c>
      <c r="E5" s="143">
        <v>0</v>
      </c>
      <c r="F5" s="143">
        <v>0</v>
      </c>
      <c r="G5" s="143">
        <v>0</v>
      </c>
      <c r="H5" s="143"/>
      <c r="I5" s="143"/>
      <c r="J5" s="143"/>
    </row>
    <row r="6" spans="1:10" s="87" customFormat="1" ht="15" customHeight="1">
      <c r="A6" s="381" t="s">
        <v>78</v>
      </c>
      <c r="B6" s="381"/>
      <c r="C6" s="48"/>
      <c r="D6" s="48"/>
      <c r="E6" s="48"/>
      <c r="F6" s="48"/>
      <c r="G6" s="48"/>
      <c r="H6" s="48"/>
      <c r="I6" s="48"/>
      <c r="J6" s="48"/>
    </row>
    <row r="7" spans="1:10" ht="38.25" customHeight="1">
      <c r="A7" s="52" t="s">
        <v>5</v>
      </c>
      <c r="B7" s="52" t="s">
        <v>1</v>
      </c>
      <c r="C7" s="52" t="s">
        <v>3</v>
      </c>
      <c r="D7" s="52" t="s">
        <v>120</v>
      </c>
      <c r="E7" s="52" t="s">
        <v>90</v>
      </c>
      <c r="F7" s="52" t="s">
        <v>91</v>
      </c>
      <c r="G7" s="52" t="s">
        <v>140</v>
      </c>
      <c r="H7" s="52" t="s">
        <v>127</v>
      </c>
      <c r="I7" s="52" t="s">
        <v>159</v>
      </c>
      <c r="J7" s="52" t="s">
        <v>119</v>
      </c>
    </row>
    <row r="8" spans="1:10" ht="15" customHeight="1">
      <c r="A8" s="318"/>
      <c r="B8" s="357"/>
      <c r="C8" s="359"/>
      <c r="D8" s="147">
        <v>1</v>
      </c>
      <c r="E8" s="147">
        <v>1</v>
      </c>
      <c r="F8" s="147"/>
      <c r="G8" s="147"/>
      <c r="H8" s="55"/>
      <c r="I8" s="55"/>
      <c r="J8" s="139">
        <v>1926</v>
      </c>
    </row>
    <row r="9" spans="1:10" ht="15" customHeight="1">
      <c r="A9" s="318"/>
      <c r="B9" s="357"/>
      <c r="C9" s="359"/>
      <c r="D9" s="147">
        <v>1</v>
      </c>
      <c r="E9" s="147"/>
      <c r="F9" s="147">
        <v>1</v>
      </c>
      <c r="G9" s="147"/>
      <c r="H9" s="147"/>
      <c r="I9" s="147"/>
      <c r="J9" s="139">
        <v>1929</v>
      </c>
    </row>
    <row r="10" spans="1:10" ht="15" customHeight="1">
      <c r="A10" s="318"/>
      <c r="B10" s="357"/>
      <c r="C10" s="327"/>
      <c r="D10" s="147">
        <v>1</v>
      </c>
      <c r="E10" s="147"/>
      <c r="F10" s="147">
        <v>1</v>
      </c>
      <c r="G10" s="147"/>
      <c r="H10" s="147"/>
      <c r="I10" s="147"/>
      <c r="J10" s="139">
        <v>1928</v>
      </c>
    </row>
    <row r="11" spans="1:10" ht="15" customHeight="1">
      <c r="A11" s="318"/>
      <c r="B11" s="357"/>
      <c r="C11" s="359"/>
      <c r="D11" s="147">
        <v>1</v>
      </c>
      <c r="E11" s="147">
        <v>1</v>
      </c>
      <c r="F11" s="147"/>
      <c r="G11" s="147"/>
      <c r="H11" s="147"/>
      <c r="I11" s="147"/>
      <c r="J11" s="139">
        <v>1935</v>
      </c>
    </row>
    <row r="12" spans="1:10" ht="15" customHeight="1">
      <c r="A12" s="318"/>
      <c r="B12" s="357"/>
      <c r="C12" s="359"/>
      <c r="D12" s="147">
        <v>1</v>
      </c>
      <c r="E12" s="147"/>
      <c r="F12" s="147">
        <v>1</v>
      </c>
      <c r="G12" s="147"/>
      <c r="H12" s="147"/>
      <c r="I12" s="147"/>
      <c r="J12" s="139">
        <v>1925</v>
      </c>
    </row>
    <row r="13" spans="1:10" s="87" customFormat="1" ht="15" customHeight="1">
      <c r="A13" s="396" t="s">
        <v>94</v>
      </c>
      <c r="B13" s="397"/>
      <c r="C13" s="143"/>
      <c r="D13" s="143">
        <f>SUM(D8:D12)</f>
        <v>5</v>
      </c>
      <c r="E13" s="143">
        <f>SUM(E8:E12)</f>
        <v>2</v>
      </c>
      <c r="F13" s="143">
        <f>SUM(F8:F12)</f>
        <v>3</v>
      </c>
      <c r="G13" s="143">
        <f>SUM(G8:G12)</f>
        <v>0</v>
      </c>
      <c r="H13" s="143">
        <f>SUM(H8:H12)</f>
        <v>0</v>
      </c>
      <c r="I13" s="143"/>
      <c r="J13" s="143"/>
    </row>
    <row r="14" spans="1:10" s="87" customFormat="1" ht="15" customHeight="1">
      <c r="A14" s="381" t="s">
        <v>79</v>
      </c>
      <c r="B14" s="381"/>
      <c r="C14" s="48"/>
      <c r="D14" s="48"/>
      <c r="E14" s="48"/>
      <c r="F14" s="48"/>
      <c r="G14" s="48"/>
      <c r="H14" s="48"/>
      <c r="I14" s="48"/>
      <c r="J14" s="48"/>
    </row>
    <row r="15" spans="1:10" ht="38.25" customHeight="1">
      <c r="A15" s="52" t="s">
        <v>5</v>
      </c>
      <c r="B15" s="52" t="s">
        <v>1</v>
      </c>
      <c r="C15" s="52" t="s">
        <v>3</v>
      </c>
      <c r="D15" s="52" t="s">
        <v>120</v>
      </c>
      <c r="E15" s="52" t="s">
        <v>90</v>
      </c>
      <c r="F15" s="52" t="s">
        <v>91</v>
      </c>
      <c r="G15" s="52" t="s">
        <v>140</v>
      </c>
      <c r="H15" s="52" t="s">
        <v>127</v>
      </c>
      <c r="I15" s="52" t="s">
        <v>159</v>
      </c>
      <c r="J15" s="52" t="s">
        <v>119</v>
      </c>
    </row>
    <row r="16" spans="1:10" s="87" customFormat="1" ht="15" customHeight="1">
      <c r="A16" s="374" t="s">
        <v>95</v>
      </c>
      <c r="B16" s="374"/>
      <c r="C16" s="143"/>
      <c r="D16" s="143">
        <v>0</v>
      </c>
      <c r="E16" s="143">
        <v>0</v>
      </c>
      <c r="F16" s="143">
        <v>0</v>
      </c>
      <c r="G16" s="143">
        <v>0</v>
      </c>
      <c r="H16" s="143">
        <v>0</v>
      </c>
      <c r="I16" s="143"/>
      <c r="J16" s="143"/>
    </row>
    <row r="17" spans="1:10" s="87" customFormat="1" ht="15" customHeight="1">
      <c r="A17" s="381" t="s">
        <v>80</v>
      </c>
      <c r="B17" s="381"/>
      <c r="C17" s="48"/>
      <c r="D17" s="48"/>
      <c r="E17" s="48"/>
      <c r="F17" s="48"/>
      <c r="G17" s="48"/>
      <c r="H17" s="48"/>
      <c r="I17" s="48"/>
      <c r="J17" s="48"/>
    </row>
    <row r="18" spans="1:10" ht="38.25" customHeight="1">
      <c r="A18" s="52" t="s">
        <v>5</v>
      </c>
      <c r="B18" s="52" t="s">
        <v>1</v>
      </c>
      <c r="C18" s="52" t="s">
        <v>3</v>
      </c>
      <c r="D18" s="52" t="s">
        <v>120</v>
      </c>
      <c r="E18" s="52" t="s">
        <v>90</v>
      </c>
      <c r="F18" s="52" t="s">
        <v>91</v>
      </c>
      <c r="G18" s="52" t="s">
        <v>140</v>
      </c>
      <c r="H18" s="52" t="s">
        <v>127</v>
      </c>
      <c r="I18" s="52" t="s">
        <v>159</v>
      </c>
      <c r="J18" s="52" t="s">
        <v>119</v>
      </c>
    </row>
    <row r="19" spans="1:10" s="87" customFormat="1" ht="15" customHeight="1">
      <c r="A19" s="374" t="s">
        <v>96</v>
      </c>
      <c r="B19" s="374"/>
      <c r="C19" s="143"/>
      <c r="D19" s="143">
        <v>0</v>
      </c>
      <c r="E19" s="143">
        <v>0</v>
      </c>
      <c r="F19" s="143">
        <v>0</v>
      </c>
      <c r="G19" s="143">
        <v>0</v>
      </c>
      <c r="H19" s="143">
        <v>0</v>
      </c>
      <c r="I19" s="143"/>
      <c r="J19" s="143"/>
    </row>
    <row r="20" spans="1:10" s="87" customFormat="1" ht="15" customHeight="1">
      <c r="A20" s="381" t="s">
        <v>81</v>
      </c>
      <c r="B20" s="381"/>
      <c r="C20" s="48"/>
      <c r="D20" s="48"/>
      <c r="E20" s="48"/>
      <c r="F20" s="48"/>
      <c r="G20" s="48"/>
      <c r="H20" s="48"/>
      <c r="I20" s="48"/>
      <c r="J20" s="48"/>
    </row>
    <row r="21" spans="1:10" ht="38.25" customHeight="1">
      <c r="A21" s="52" t="s">
        <v>5</v>
      </c>
      <c r="B21" s="52" t="s">
        <v>1</v>
      </c>
      <c r="C21" s="52" t="s">
        <v>3</v>
      </c>
      <c r="D21" s="52" t="s">
        <v>120</v>
      </c>
      <c r="E21" s="52" t="s">
        <v>90</v>
      </c>
      <c r="F21" s="52" t="s">
        <v>91</v>
      </c>
      <c r="G21" s="52" t="s">
        <v>140</v>
      </c>
      <c r="H21" s="52" t="s">
        <v>127</v>
      </c>
      <c r="I21" s="52" t="s">
        <v>159</v>
      </c>
      <c r="J21" s="52" t="s">
        <v>119</v>
      </c>
    </row>
    <row r="22" spans="1:10" s="87" customFormat="1" ht="15" customHeight="1">
      <c r="A22" s="374" t="s">
        <v>97</v>
      </c>
      <c r="B22" s="374"/>
      <c r="C22" s="143"/>
      <c r="D22" s="143">
        <v>0</v>
      </c>
      <c r="E22" s="143">
        <v>0</v>
      </c>
      <c r="F22" s="143">
        <v>0</v>
      </c>
      <c r="G22" s="143">
        <v>0</v>
      </c>
      <c r="H22" s="143">
        <v>0</v>
      </c>
      <c r="I22" s="143"/>
      <c r="J22" s="143"/>
    </row>
    <row r="23" spans="1:10" s="87" customFormat="1" ht="15" customHeight="1">
      <c r="A23" s="381" t="s">
        <v>82</v>
      </c>
      <c r="B23" s="381"/>
      <c r="C23" s="48"/>
      <c r="D23" s="48"/>
      <c r="E23" s="48"/>
      <c r="F23" s="48"/>
      <c r="G23" s="48"/>
      <c r="H23" s="48"/>
      <c r="I23" s="48"/>
      <c r="J23" s="48"/>
    </row>
    <row r="24" spans="1:10" ht="38.25" customHeight="1">
      <c r="A24" s="52" t="s">
        <v>5</v>
      </c>
      <c r="B24" s="52" t="s">
        <v>1</v>
      </c>
      <c r="C24" s="52" t="s">
        <v>3</v>
      </c>
      <c r="D24" s="52" t="s">
        <v>120</v>
      </c>
      <c r="E24" s="52" t="s">
        <v>90</v>
      </c>
      <c r="F24" s="52" t="s">
        <v>91</v>
      </c>
      <c r="G24" s="52" t="s">
        <v>140</v>
      </c>
      <c r="H24" s="52" t="s">
        <v>127</v>
      </c>
      <c r="I24" s="52" t="s">
        <v>159</v>
      </c>
      <c r="J24" s="52" t="s">
        <v>119</v>
      </c>
    </row>
    <row r="25" spans="1:10" s="87" customFormat="1" ht="15" customHeight="1">
      <c r="A25" s="374" t="s">
        <v>146</v>
      </c>
      <c r="B25" s="374"/>
      <c r="C25" s="143"/>
      <c r="D25" s="143">
        <v>0</v>
      </c>
      <c r="E25" s="143">
        <v>0</v>
      </c>
      <c r="F25" s="143">
        <v>0</v>
      </c>
      <c r="G25" s="143">
        <v>0</v>
      </c>
      <c r="H25" s="143">
        <v>0</v>
      </c>
      <c r="I25" s="143"/>
      <c r="J25" s="143"/>
    </row>
    <row r="26" spans="1:10" s="87" customFormat="1" ht="15" customHeight="1">
      <c r="A26" s="381" t="s">
        <v>83</v>
      </c>
      <c r="B26" s="381"/>
      <c r="C26" s="48"/>
      <c r="D26" s="48"/>
      <c r="E26" s="48"/>
      <c r="F26" s="48"/>
      <c r="G26" s="48"/>
      <c r="H26" s="48"/>
      <c r="I26" s="48"/>
      <c r="J26" s="48"/>
    </row>
    <row r="27" spans="1:10" ht="38.25" customHeight="1">
      <c r="A27" s="52" t="s">
        <v>5</v>
      </c>
      <c r="B27" s="52" t="s">
        <v>1</v>
      </c>
      <c r="C27" s="52" t="s">
        <v>3</v>
      </c>
      <c r="D27" s="52" t="s">
        <v>120</v>
      </c>
      <c r="E27" s="52" t="s">
        <v>90</v>
      </c>
      <c r="F27" s="52" t="s">
        <v>91</v>
      </c>
      <c r="G27" s="52" t="s">
        <v>140</v>
      </c>
      <c r="H27" s="52" t="s">
        <v>127</v>
      </c>
      <c r="I27" s="52" t="s">
        <v>159</v>
      </c>
      <c r="J27" s="52" t="s">
        <v>119</v>
      </c>
    </row>
    <row r="28" spans="1:10" s="87" customFormat="1" ht="15" customHeight="1">
      <c r="A28" s="374" t="s">
        <v>98</v>
      </c>
      <c r="B28" s="374"/>
      <c r="C28" s="143"/>
      <c r="D28" s="143">
        <v>0</v>
      </c>
      <c r="E28" s="143">
        <v>0</v>
      </c>
      <c r="F28" s="143">
        <v>0</v>
      </c>
      <c r="G28" s="143">
        <v>0</v>
      </c>
      <c r="H28" s="143">
        <v>0</v>
      </c>
      <c r="I28" s="143"/>
      <c r="J28" s="143"/>
    </row>
    <row r="29" spans="1:10" s="87" customFormat="1" ht="15" customHeight="1">
      <c r="A29" s="381" t="s">
        <v>84</v>
      </c>
      <c r="B29" s="381"/>
      <c r="C29" s="48"/>
      <c r="D29" s="48"/>
      <c r="E29" s="48"/>
      <c r="F29" s="48"/>
      <c r="G29" s="48"/>
      <c r="H29" s="48"/>
      <c r="I29" s="48"/>
      <c r="J29" s="48"/>
    </row>
    <row r="30" spans="1:10" ht="38.25" customHeight="1">
      <c r="A30" s="52" t="s">
        <v>5</v>
      </c>
      <c r="B30" s="52" t="s">
        <v>1</v>
      </c>
      <c r="C30" s="52" t="s">
        <v>3</v>
      </c>
      <c r="D30" s="52" t="s">
        <v>120</v>
      </c>
      <c r="E30" s="52" t="s">
        <v>90</v>
      </c>
      <c r="F30" s="52" t="s">
        <v>91</v>
      </c>
      <c r="G30" s="52" t="s">
        <v>140</v>
      </c>
      <c r="H30" s="52" t="s">
        <v>127</v>
      </c>
      <c r="I30" s="52" t="s">
        <v>159</v>
      </c>
      <c r="J30" s="52" t="s">
        <v>119</v>
      </c>
    </row>
    <row r="31" spans="1:10" s="87" customFormat="1" ht="15" customHeight="1">
      <c r="A31" s="374" t="s">
        <v>99</v>
      </c>
      <c r="B31" s="374"/>
      <c r="C31" s="143"/>
      <c r="D31" s="143">
        <v>0</v>
      </c>
      <c r="E31" s="143">
        <v>0</v>
      </c>
      <c r="F31" s="143">
        <v>0</v>
      </c>
      <c r="G31" s="143">
        <v>0</v>
      </c>
      <c r="H31" s="143">
        <v>0</v>
      </c>
      <c r="I31" s="143"/>
      <c r="J31" s="143"/>
    </row>
    <row r="32" spans="1:10" s="87" customFormat="1" ht="15" customHeight="1">
      <c r="A32" s="381" t="s">
        <v>85</v>
      </c>
      <c r="B32" s="381"/>
      <c r="C32" s="48"/>
      <c r="D32" s="48"/>
      <c r="E32" s="48"/>
      <c r="F32" s="48"/>
      <c r="G32" s="48"/>
      <c r="H32" s="48"/>
      <c r="I32" s="48"/>
      <c r="J32" s="48"/>
    </row>
    <row r="33" spans="1:10" ht="38.25" customHeight="1">
      <c r="A33" s="52" t="s">
        <v>5</v>
      </c>
      <c r="B33" s="52" t="s">
        <v>1</v>
      </c>
      <c r="C33" s="52" t="s">
        <v>3</v>
      </c>
      <c r="D33" s="52" t="s">
        <v>120</v>
      </c>
      <c r="E33" s="52" t="s">
        <v>90</v>
      </c>
      <c r="F33" s="52" t="s">
        <v>91</v>
      </c>
      <c r="G33" s="52" t="s">
        <v>140</v>
      </c>
      <c r="H33" s="52" t="s">
        <v>127</v>
      </c>
      <c r="I33" s="52" t="s">
        <v>159</v>
      </c>
      <c r="J33" s="52" t="s">
        <v>119</v>
      </c>
    </row>
    <row r="34" spans="1:10" s="87" customFormat="1" ht="15" customHeight="1">
      <c r="A34" s="374" t="s">
        <v>100</v>
      </c>
      <c r="B34" s="374"/>
      <c r="C34" s="143"/>
      <c r="D34" s="143">
        <v>0</v>
      </c>
      <c r="E34" s="143">
        <v>0</v>
      </c>
      <c r="F34" s="143">
        <v>0</v>
      </c>
      <c r="G34" s="143">
        <v>0</v>
      </c>
      <c r="H34" s="143">
        <v>0</v>
      </c>
      <c r="I34" s="143"/>
      <c r="J34" s="143"/>
    </row>
    <row r="35" spans="1:28" s="86" customFormat="1" ht="15" customHeight="1">
      <c r="A35" s="309" t="s">
        <v>112</v>
      </c>
      <c r="B35" s="309"/>
      <c r="C35" s="71"/>
      <c r="D35" s="181">
        <v>5</v>
      </c>
      <c r="E35" s="181">
        <v>2</v>
      </c>
      <c r="F35" s="181">
        <v>3</v>
      </c>
      <c r="G35" s="181">
        <v>0</v>
      </c>
      <c r="H35" s="181">
        <v>0</v>
      </c>
      <c r="I35" s="123"/>
      <c r="J35" s="123"/>
      <c r="K35" s="159"/>
      <c r="L35" s="159"/>
      <c r="M35" s="159"/>
      <c r="N35" s="159"/>
      <c r="O35" s="159"/>
      <c r="P35" s="159"/>
      <c r="Q35" s="159"/>
      <c r="R35" s="159"/>
      <c r="S35" s="159"/>
      <c r="T35" s="159"/>
      <c r="U35" s="159"/>
      <c r="V35" s="159"/>
      <c r="W35" s="159"/>
      <c r="X35" s="159"/>
      <c r="Y35" s="159"/>
      <c r="Z35" s="159"/>
      <c r="AA35" s="159"/>
      <c r="AB35" s="159"/>
    </row>
    <row r="37" spans="1:6" ht="12.75">
      <c r="A37" s="44" t="s">
        <v>46</v>
      </c>
      <c r="E37" s="126"/>
      <c r="F37" s="126"/>
    </row>
  </sheetData>
  <mergeCells count="21">
    <mergeCell ref="A31:B31"/>
    <mergeCell ref="A32:B32"/>
    <mergeCell ref="A34:B34"/>
    <mergeCell ref="A35:B35"/>
    <mergeCell ref="A25:B25"/>
    <mergeCell ref="A26:B26"/>
    <mergeCell ref="A28:B28"/>
    <mergeCell ref="A29:B29"/>
    <mergeCell ref="A1:J1"/>
    <mergeCell ref="A2:J2"/>
    <mergeCell ref="A14:B14"/>
    <mergeCell ref="A16:B16"/>
    <mergeCell ref="A3:B3"/>
    <mergeCell ref="A5:B5"/>
    <mergeCell ref="A6:B6"/>
    <mergeCell ref="A13:B13"/>
    <mergeCell ref="A23:B23"/>
    <mergeCell ref="A17:B17"/>
    <mergeCell ref="A19:B19"/>
    <mergeCell ref="A20:B20"/>
    <mergeCell ref="A22:B22"/>
  </mergeCell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codeName="Foglio12">
    <tabColor indexed="57"/>
  </sheetPr>
  <dimension ref="A1:O125"/>
  <sheetViews>
    <sheetView workbookViewId="0" topLeftCell="A1">
      <selection activeCell="A92" sqref="A92:C119"/>
    </sheetView>
  </sheetViews>
  <sheetFormatPr defaultColWidth="8.8515625" defaultRowHeight="12.75"/>
  <cols>
    <col min="1" max="2" width="20.7109375" style="87" customWidth="1"/>
    <col min="3" max="3" width="20.7109375" style="69" customWidth="1"/>
    <col min="4" max="4" width="7.7109375" style="87" customWidth="1"/>
    <col min="5" max="6" width="5.7109375" style="87" customWidth="1"/>
    <col min="7" max="8" width="9.7109375" style="87" customWidth="1"/>
    <col min="9" max="9" width="13.7109375" style="87" customWidth="1"/>
    <col min="10" max="10" width="10.140625" style="87" customWidth="1"/>
    <col min="11" max="12" width="14.7109375" style="87" customWidth="1"/>
    <col min="13" max="13" width="17.00390625" style="87" customWidth="1"/>
    <col min="14" max="14" width="8.57421875" style="87" customWidth="1"/>
    <col min="15" max="16384" width="8.8515625" style="87" customWidth="1"/>
  </cols>
  <sheetData>
    <row r="1" spans="1:13" ht="30" customHeight="1">
      <c r="A1" s="395" t="s">
        <v>117</v>
      </c>
      <c r="B1" s="395"/>
      <c r="C1" s="395"/>
      <c r="D1" s="395"/>
      <c r="E1" s="395"/>
      <c r="F1" s="395"/>
      <c r="G1" s="395"/>
      <c r="H1" s="395"/>
      <c r="I1" s="395"/>
      <c r="J1" s="395"/>
      <c r="K1" s="395"/>
      <c r="L1" s="395"/>
      <c r="M1" s="395"/>
    </row>
    <row r="2" spans="1:13" ht="73.5" customHeight="1">
      <c r="A2" s="377" t="s">
        <v>60</v>
      </c>
      <c r="B2" s="377"/>
      <c r="C2" s="377"/>
      <c r="D2" s="377"/>
      <c r="E2" s="377"/>
      <c r="F2" s="377"/>
      <c r="G2" s="377"/>
      <c r="H2" s="377"/>
      <c r="I2" s="377"/>
      <c r="J2" s="377"/>
      <c r="K2" s="377"/>
      <c r="L2" s="377"/>
      <c r="M2" s="377"/>
    </row>
    <row r="3" spans="1:13" ht="15" customHeight="1">
      <c r="A3" s="381" t="s">
        <v>77</v>
      </c>
      <c r="B3" s="381"/>
      <c r="C3" s="61"/>
      <c r="D3" s="171"/>
      <c r="E3" s="50"/>
      <c r="F3" s="50"/>
      <c r="G3" s="50"/>
      <c r="H3" s="50"/>
      <c r="I3" s="50"/>
      <c r="J3" s="185"/>
      <c r="K3" s="50"/>
      <c r="L3" s="50"/>
      <c r="M3" s="171"/>
    </row>
    <row r="4" spans="1:13" s="187" customFormat="1" ht="30.75" customHeight="1">
      <c r="A4" s="51" t="s">
        <v>5</v>
      </c>
      <c r="B4" s="51" t="s">
        <v>1</v>
      </c>
      <c r="C4" s="51" t="s">
        <v>3</v>
      </c>
      <c r="D4" s="51" t="s">
        <v>120</v>
      </c>
      <c r="E4" s="52" t="s">
        <v>90</v>
      </c>
      <c r="F4" s="52" t="s">
        <v>91</v>
      </c>
      <c r="G4" s="52" t="s">
        <v>140</v>
      </c>
      <c r="H4" s="52" t="s">
        <v>127</v>
      </c>
      <c r="I4" s="52" t="s">
        <v>159</v>
      </c>
      <c r="J4" s="52" t="s">
        <v>119</v>
      </c>
      <c r="K4" s="52" t="s">
        <v>125</v>
      </c>
      <c r="L4" s="186" t="s">
        <v>126</v>
      </c>
      <c r="M4" s="52" t="s">
        <v>47</v>
      </c>
    </row>
    <row r="5" spans="1:13" ht="15" customHeight="1">
      <c r="A5" s="357"/>
      <c r="B5" s="358"/>
      <c r="C5" s="359"/>
      <c r="D5" s="137">
        <v>1</v>
      </c>
      <c r="E5" s="137"/>
      <c r="F5" s="137">
        <v>1</v>
      </c>
      <c r="G5" s="137">
        <v>1</v>
      </c>
      <c r="H5" s="137"/>
      <c r="I5" s="137"/>
      <c r="J5" s="137">
        <v>1926</v>
      </c>
      <c r="K5" s="147">
        <v>366</v>
      </c>
      <c r="L5" s="217">
        <v>48.3</v>
      </c>
      <c r="M5" s="55"/>
    </row>
    <row r="6" spans="1:13" ht="15" customHeight="1">
      <c r="A6" s="357"/>
      <c r="B6" s="358"/>
      <c r="C6" s="359"/>
      <c r="D6" s="137">
        <v>1</v>
      </c>
      <c r="E6" s="137"/>
      <c r="F6" s="137">
        <v>1</v>
      </c>
      <c r="G6" s="137">
        <v>1</v>
      </c>
      <c r="H6" s="137"/>
      <c r="I6" s="137"/>
      <c r="J6" s="137">
        <v>1927</v>
      </c>
      <c r="K6" s="147">
        <v>366</v>
      </c>
      <c r="L6" s="217">
        <v>48.3</v>
      </c>
      <c r="M6" s="55"/>
    </row>
    <row r="7" spans="1:13" ht="15" customHeight="1">
      <c r="A7" s="357"/>
      <c r="B7" s="358"/>
      <c r="C7" s="359"/>
      <c r="D7" s="137">
        <v>1</v>
      </c>
      <c r="E7" s="137"/>
      <c r="F7" s="137">
        <v>1</v>
      </c>
      <c r="G7" s="137">
        <v>1</v>
      </c>
      <c r="H7" s="137"/>
      <c r="I7" s="137"/>
      <c r="J7" s="137">
        <v>1934</v>
      </c>
      <c r="K7" s="147">
        <v>366</v>
      </c>
      <c r="L7" s="217">
        <v>48.3</v>
      </c>
      <c r="M7" s="55"/>
    </row>
    <row r="8" spans="1:13" ht="15" customHeight="1">
      <c r="A8" s="357"/>
      <c r="B8" s="358"/>
      <c r="C8" s="359"/>
      <c r="D8" s="137">
        <v>1</v>
      </c>
      <c r="E8" s="137">
        <v>1</v>
      </c>
      <c r="F8" s="137"/>
      <c r="G8" s="137">
        <v>1</v>
      </c>
      <c r="H8" s="137"/>
      <c r="I8" s="137"/>
      <c r="J8" s="137">
        <v>1934</v>
      </c>
      <c r="K8" s="96">
        <v>340</v>
      </c>
      <c r="L8" s="217">
        <v>48.3</v>
      </c>
      <c r="M8" s="55"/>
    </row>
    <row r="9" spans="1:13" ht="15" customHeight="1">
      <c r="A9" s="357"/>
      <c r="B9" s="358"/>
      <c r="C9" s="359"/>
      <c r="D9" s="137">
        <v>1</v>
      </c>
      <c r="E9" s="137"/>
      <c r="F9" s="137">
        <v>1</v>
      </c>
      <c r="G9" s="137">
        <v>1</v>
      </c>
      <c r="H9" s="137"/>
      <c r="I9" s="137"/>
      <c r="J9" s="137">
        <v>1922</v>
      </c>
      <c r="K9" s="147">
        <v>366</v>
      </c>
      <c r="L9" s="217">
        <v>48.3</v>
      </c>
      <c r="M9" s="55"/>
    </row>
    <row r="10" spans="1:13" ht="15" customHeight="1">
      <c r="A10" s="357"/>
      <c r="B10" s="358"/>
      <c r="C10" s="359"/>
      <c r="D10" s="137">
        <v>1</v>
      </c>
      <c r="E10" s="137"/>
      <c r="F10" s="137">
        <v>1</v>
      </c>
      <c r="G10" s="137">
        <v>1</v>
      </c>
      <c r="H10" s="137"/>
      <c r="I10" s="137"/>
      <c r="J10" s="137">
        <v>1925</v>
      </c>
      <c r="K10" s="147">
        <v>366</v>
      </c>
      <c r="L10" s="217">
        <v>48.3</v>
      </c>
      <c r="M10" s="55"/>
    </row>
    <row r="11" spans="1:13" ht="15" customHeight="1">
      <c r="A11" s="357"/>
      <c r="B11" s="358"/>
      <c r="C11" s="359"/>
      <c r="D11" s="137">
        <v>1</v>
      </c>
      <c r="E11" s="137">
        <v>1</v>
      </c>
      <c r="F11" s="137"/>
      <c r="G11" s="137">
        <v>1</v>
      </c>
      <c r="H11" s="137"/>
      <c r="I11" s="137"/>
      <c r="J11" s="137">
        <v>1922</v>
      </c>
      <c r="K11" s="147">
        <v>366</v>
      </c>
      <c r="L11" s="217">
        <v>48.3</v>
      </c>
      <c r="M11" s="55"/>
    </row>
    <row r="12" spans="1:13" s="133" customFormat="1" ht="15" customHeight="1">
      <c r="A12" s="374" t="s">
        <v>93</v>
      </c>
      <c r="B12" s="374"/>
      <c r="C12" s="84"/>
      <c r="D12" s="143">
        <f>SUM(D5:D11)</f>
        <v>7</v>
      </c>
      <c r="E12" s="143">
        <f>SUM(E5:E11)</f>
        <v>2</v>
      </c>
      <c r="F12" s="143">
        <f>SUM(F5:F11)</f>
        <v>5</v>
      </c>
      <c r="G12" s="143">
        <f>SUM(G5:G11)</f>
        <v>7</v>
      </c>
      <c r="H12" s="143">
        <v>0</v>
      </c>
      <c r="I12" s="143"/>
      <c r="J12" s="143"/>
      <c r="K12" s="143">
        <f>SUM(K5:K11)</f>
        <v>2536</v>
      </c>
      <c r="L12" s="143"/>
      <c r="M12" s="143"/>
    </row>
    <row r="13" spans="1:13" s="133" customFormat="1" ht="15" customHeight="1">
      <c r="A13" s="381" t="s">
        <v>78</v>
      </c>
      <c r="B13" s="381"/>
      <c r="C13" s="61"/>
      <c r="D13" s="171"/>
      <c r="E13" s="189"/>
      <c r="F13" s="189"/>
      <c r="G13" s="189"/>
      <c r="H13" s="189"/>
      <c r="I13" s="189"/>
      <c r="J13" s="189"/>
      <c r="K13" s="116"/>
      <c r="L13" s="116"/>
      <c r="M13" s="116"/>
    </row>
    <row r="14" spans="1:13" s="187" customFormat="1" ht="30.75" customHeight="1">
      <c r="A14" s="51" t="s">
        <v>5</v>
      </c>
      <c r="B14" s="51" t="s">
        <v>1</v>
      </c>
      <c r="C14" s="51" t="s">
        <v>3</v>
      </c>
      <c r="D14" s="51" t="s">
        <v>120</v>
      </c>
      <c r="E14" s="52" t="s">
        <v>90</v>
      </c>
      <c r="F14" s="52" t="s">
        <v>91</v>
      </c>
      <c r="G14" s="52" t="s">
        <v>140</v>
      </c>
      <c r="H14" s="52" t="s">
        <v>127</v>
      </c>
      <c r="I14" s="52" t="s">
        <v>159</v>
      </c>
      <c r="J14" s="52" t="s">
        <v>119</v>
      </c>
      <c r="K14" s="52" t="s">
        <v>125</v>
      </c>
      <c r="L14" s="186" t="s">
        <v>126</v>
      </c>
      <c r="M14" s="52" t="s">
        <v>47</v>
      </c>
    </row>
    <row r="15" spans="1:13" ht="15" customHeight="1">
      <c r="A15" s="357"/>
      <c r="B15" s="358"/>
      <c r="C15" s="359"/>
      <c r="D15" s="147">
        <v>1</v>
      </c>
      <c r="E15" s="147"/>
      <c r="F15" s="137">
        <v>1</v>
      </c>
      <c r="G15" s="137">
        <v>1</v>
      </c>
      <c r="H15" s="137"/>
      <c r="I15" s="137"/>
      <c r="J15" s="147">
        <v>1930</v>
      </c>
      <c r="K15" s="147">
        <v>366</v>
      </c>
      <c r="L15" s="217">
        <v>48.3</v>
      </c>
      <c r="M15" s="256"/>
    </row>
    <row r="16" spans="1:13" ht="15" customHeight="1">
      <c r="A16" s="357"/>
      <c r="B16" s="358"/>
      <c r="C16" s="359"/>
      <c r="D16" s="147">
        <v>1</v>
      </c>
      <c r="E16" s="147">
        <v>1</v>
      </c>
      <c r="F16" s="137"/>
      <c r="G16" s="137">
        <v>1</v>
      </c>
      <c r="H16" s="137"/>
      <c r="I16" s="137"/>
      <c r="J16" s="147">
        <v>1925</v>
      </c>
      <c r="K16" s="96">
        <v>353</v>
      </c>
      <c r="L16" s="217">
        <v>48.3</v>
      </c>
      <c r="M16" s="55"/>
    </row>
    <row r="17" spans="1:13" ht="15" customHeight="1">
      <c r="A17" s="357"/>
      <c r="B17" s="358"/>
      <c r="C17" s="359"/>
      <c r="D17" s="147">
        <v>1</v>
      </c>
      <c r="E17" s="147"/>
      <c r="F17" s="137">
        <v>1</v>
      </c>
      <c r="G17" s="137">
        <v>1</v>
      </c>
      <c r="H17" s="137"/>
      <c r="I17" s="137"/>
      <c r="J17" s="147">
        <v>1924</v>
      </c>
      <c r="K17" s="147">
        <v>366</v>
      </c>
      <c r="L17" s="217">
        <v>48.3</v>
      </c>
      <c r="M17" s="55"/>
    </row>
    <row r="18" spans="1:13" ht="15" customHeight="1">
      <c r="A18" s="357"/>
      <c r="B18" s="358"/>
      <c r="C18" s="359"/>
      <c r="D18" s="147">
        <v>1</v>
      </c>
      <c r="E18" s="147"/>
      <c r="F18" s="137">
        <v>1</v>
      </c>
      <c r="G18" s="137">
        <v>1</v>
      </c>
      <c r="H18" s="137"/>
      <c r="I18" s="137"/>
      <c r="J18" s="147">
        <v>1916</v>
      </c>
      <c r="K18" s="147">
        <v>366</v>
      </c>
      <c r="L18" s="217">
        <v>48.3</v>
      </c>
      <c r="M18" s="55"/>
    </row>
    <row r="19" spans="1:13" ht="15" customHeight="1">
      <c r="A19" s="357"/>
      <c r="B19" s="358"/>
      <c r="C19" s="359"/>
      <c r="D19" s="147">
        <v>1</v>
      </c>
      <c r="E19" s="147">
        <v>1</v>
      </c>
      <c r="F19" s="137"/>
      <c r="G19" s="137">
        <v>1</v>
      </c>
      <c r="H19" s="137"/>
      <c r="I19" s="137"/>
      <c r="J19" s="147">
        <v>1927</v>
      </c>
      <c r="K19" s="96">
        <v>227</v>
      </c>
      <c r="L19" s="217">
        <v>48.5</v>
      </c>
      <c r="M19" s="55"/>
    </row>
    <row r="20" spans="1:13" ht="15" customHeight="1">
      <c r="A20" s="357"/>
      <c r="B20" s="358"/>
      <c r="C20" s="359"/>
      <c r="D20" s="147">
        <v>1</v>
      </c>
      <c r="E20" s="147">
        <v>1</v>
      </c>
      <c r="F20" s="137"/>
      <c r="G20" s="137">
        <v>1</v>
      </c>
      <c r="H20" s="137"/>
      <c r="I20" s="137"/>
      <c r="J20" s="147">
        <v>1943</v>
      </c>
      <c r="K20" s="147">
        <v>366</v>
      </c>
      <c r="L20" s="217">
        <v>48.3</v>
      </c>
      <c r="M20" s="55"/>
    </row>
    <row r="21" spans="1:13" ht="15" customHeight="1">
      <c r="A21" s="357"/>
      <c r="B21" s="358"/>
      <c r="C21" s="359"/>
      <c r="D21" s="147">
        <v>1</v>
      </c>
      <c r="E21" s="147"/>
      <c r="F21" s="137">
        <v>1</v>
      </c>
      <c r="G21" s="137">
        <v>1</v>
      </c>
      <c r="H21" s="137"/>
      <c r="I21" s="137"/>
      <c r="J21" s="147">
        <v>1916</v>
      </c>
      <c r="K21" s="147">
        <v>366</v>
      </c>
      <c r="L21" s="217">
        <v>48.3</v>
      </c>
      <c r="M21" s="55"/>
    </row>
    <row r="22" spans="1:13" ht="15" customHeight="1">
      <c r="A22" s="357"/>
      <c r="B22" s="358"/>
      <c r="C22" s="359"/>
      <c r="D22" s="147">
        <v>1</v>
      </c>
      <c r="E22" s="147">
        <v>1</v>
      </c>
      <c r="F22" s="137"/>
      <c r="G22" s="137">
        <v>1</v>
      </c>
      <c r="H22" s="137"/>
      <c r="I22" s="137"/>
      <c r="J22" s="147">
        <v>1941</v>
      </c>
      <c r="K22" s="96">
        <v>84</v>
      </c>
      <c r="L22" s="217">
        <v>48.1</v>
      </c>
      <c r="M22" s="55"/>
    </row>
    <row r="23" spans="1:13" ht="15" customHeight="1">
      <c r="A23" s="357"/>
      <c r="B23" s="358"/>
      <c r="C23" s="359"/>
      <c r="D23" s="147">
        <v>1</v>
      </c>
      <c r="E23" s="147"/>
      <c r="F23" s="137">
        <v>1</v>
      </c>
      <c r="G23" s="137">
        <v>1</v>
      </c>
      <c r="H23" s="137"/>
      <c r="I23" s="137"/>
      <c r="J23" s="147">
        <v>1916</v>
      </c>
      <c r="K23" s="147">
        <v>366</v>
      </c>
      <c r="L23" s="217">
        <v>48.3</v>
      </c>
      <c r="M23" s="55"/>
    </row>
    <row r="24" spans="1:13" ht="15" customHeight="1">
      <c r="A24" s="357"/>
      <c r="B24" s="358"/>
      <c r="C24" s="359"/>
      <c r="D24" s="147">
        <v>1</v>
      </c>
      <c r="E24" s="147"/>
      <c r="F24" s="137">
        <v>1</v>
      </c>
      <c r="G24" s="137">
        <v>1</v>
      </c>
      <c r="H24" s="137"/>
      <c r="I24" s="137"/>
      <c r="J24" s="147">
        <v>1924</v>
      </c>
      <c r="K24" s="147">
        <v>366</v>
      </c>
      <c r="L24" s="217">
        <v>48.3</v>
      </c>
      <c r="M24" s="55"/>
    </row>
    <row r="25" spans="1:13" ht="15" customHeight="1">
      <c r="A25" s="357"/>
      <c r="B25" s="358"/>
      <c r="C25" s="359"/>
      <c r="D25" s="147">
        <v>1</v>
      </c>
      <c r="E25" s="147"/>
      <c r="F25" s="137">
        <v>1</v>
      </c>
      <c r="G25" s="137">
        <v>1</v>
      </c>
      <c r="H25" s="137"/>
      <c r="I25" s="137"/>
      <c r="J25" s="147">
        <v>1915</v>
      </c>
      <c r="K25" s="96">
        <v>32</v>
      </c>
      <c r="L25" s="217">
        <v>48.1</v>
      </c>
      <c r="M25" s="55"/>
    </row>
    <row r="26" spans="1:13" ht="15" customHeight="1">
      <c r="A26" s="357"/>
      <c r="B26" s="358"/>
      <c r="C26" s="359"/>
      <c r="D26" s="147">
        <v>1</v>
      </c>
      <c r="E26" s="147"/>
      <c r="F26" s="137">
        <v>1</v>
      </c>
      <c r="G26" s="137">
        <v>1</v>
      </c>
      <c r="H26" s="137"/>
      <c r="I26" s="137"/>
      <c r="J26" s="147">
        <v>1914</v>
      </c>
      <c r="K26" s="147">
        <v>366</v>
      </c>
      <c r="L26" s="217">
        <v>48.3</v>
      </c>
      <c r="M26" s="55"/>
    </row>
    <row r="27" spans="1:13" ht="15" customHeight="1">
      <c r="A27" s="357"/>
      <c r="B27" s="358"/>
      <c r="C27" s="359"/>
      <c r="D27" s="147">
        <v>1</v>
      </c>
      <c r="E27" s="147"/>
      <c r="F27" s="137">
        <v>1</v>
      </c>
      <c r="G27" s="137">
        <v>1</v>
      </c>
      <c r="H27" s="137"/>
      <c r="I27" s="137"/>
      <c r="J27" s="147">
        <v>1921</v>
      </c>
      <c r="K27" s="147">
        <v>366</v>
      </c>
      <c r="L27" s="217">
        <v>48.3</v>
      </c>
      <c r="M27" s="55"/>
    </row>
    <row r="28" spans="1:13" ht="15" customHeight="1">
      <c r="A28" s="357"/>
      <c r="B28" s="358"/>
      <c r="C28" s="359"/>
      <c r="D28" s="147">
        <v>1</v>
      </c>
      <c r="E28" s="147"/>
      <c r="F28" s="137">
        <v>1</v>
      </c>
      <c r="G28" s="137">
        <v>1</v>
      </c>
      <c r="H28" s="137"/>
      <c r="I28" s="137"/>
      <c r="J28" s="147">
        <v>1928</v>
      </c>
      <c r="K28" s="96">
        <v>205</v>
      </c>
      <c r="L28" s="217">
        <v>48.5</v>
      </c>
      <c r="M28" s="55"/>
    </row>
    <row r="29" spans="1:13" ht="15" customHeight="1">
      <c r="A29" s="357"/>
      <c r="B29" s="358"/>
      <c r="C29" s="359"/>
      <c r="D29" s="147">
        <v>1</v>
      </c>
      <c r="E29" s="147"/>
      <c r="F29" s="137">
        <v>1</v>
      </c>
      <c r="G29" s="137">
        <v>1</v>
      </c>
      <c r="H29" s="137"/>
      <c r="I29" s="137"/>
      <c r="J29" s="147">
        <v>1907</v>
      </c>
      <c r="K29" s="147">
        <v>366</v>
      </c>
      <c r="L29" s="217">
        <v>48.3</v>
      </c>
      <c r="M29" s="55"/>
    </row>
    <row r="30" spans="1:13" ht="15" customHeight="1">
      <c r="A30" s="357"/>
      <c r="B30" s="358"/>
      <c r="C30" s="359"/>
      <c r="D30" s="147">
        <v>1</v>
      </c>
      <c r="E30" s="147"/>
      <c r="F30" s="137">
        <v>1</v>
      </c>
      <c r="G30" s="137">
        <v>1</v>
      </c>
      <c r="H30" s="137"/>
      <c r="I30" s="137"/>
      <c r="J30" s="147">
        <v>1936</v>
      </c>
      <c r="K30" s="147">
        <v>366</v>
      </c>
      <c r="L30" s="217">
        <v>48.3</v>
      </c>
      <c r="M30" s="55"/>
    </row>
    <row r="31" spans="1:13" ht="15" customHeight="1">
      <c r="A31" s="357"/>
      <c r="B31" s="358"/>
      <c r="C31" s="359"/>
      <c r="D31" s="147">
        <v>1</v>
      </c>
      <c r="E31" s="147"/>
      <c r="F31" s="137">
        <v>1</v>
      </c>
      <c r="G31" s="137">
        <v>1</v>
      </c>
      <c r="H31" s="137"/>
      <c r="I31" s="137"/>
      <c r="J31" s="147">
        <v>1940</v>
      </c>
      <c r="K31" s="96">
        <v>302</v>
      </c>
      <c r="L31" s="217">
        <v>48.3</v>
      </c>
      <c r="M31" s="55"/>
    </row>
    <row r="32" spans="1:13" ht="15" customHeight="1">
      <c r="A32" s="357"/>
      <c r="B32" s="358"/>
      <c r="C32" s="359"/>
      <c r="D32" s="147">
        <v>1</v>
      </c>
      <c r="E32" s="147">
        <v>1</v>
      </c>
      <c r="F32" s="137"/>
      <c r="G32" s="137">
        <v>1</v>
      </c>
      <c r="H32" s="137"/>
      <c r="I32" s="137"/>
      <c r="J32" s="147">
        <v>1938</v>
      </c>
      <c r="K32" s="147">
        <v>366</v>
      </c>
      <c r="L32" s="217">
        <v>48.3</v>
      </c>
      <c r="M32" s="55"/>
    </row>
    <row r="33" spans="1:13" ht="15" customHeight="1">
      <c r="A33" s="357"/>
      <c r="B33" s="358"/>
      <c r="C33" s="359"/>
      <c r="D33" s="147">
        <v>1</v>
      </c>
      <c r="E33" s="147"/>
      <c r="F33" s="137">
        <v>1</v>
      </c>
      <c r="G33" s="137">
        <v>1</v>
      </c>
      <c r="H33" s="137"/>
      <c r="I33" s="137"/>
      <c r="J33" s="147">
        <v>1915</v>
      </c>
      <c r="K33" s="147">
        <v>366</v>
      </c>
      <c r="L33" s="217">
        <v>48.3</v>
      </c>
      <c r="M33" s="55"/>
    </row>
    <row r="34" spans="1:13" ht="15" customHeight="1">
      <c r="A34" s="357"/>
      <c r="B34" s="358"/>
      <c r="C34" s="359"/>
      <c r="D34" s="147">
        <v>1</v>
      </c>
      <c r="E34" s="147"/>
      <c r="F34" s="137">
        <v>1</v>
      </c>
      <c r="G34" s="137">
        <v>1</v>
      </c>
      <c r="H34" s="137"/>
      <c r="I34" s="137"/>
      <c r="J34" s="147">
        <v>1925</v>
      </c>
      <c r="K34" s="147">
        <v>366</v>
      </c>
      <c r="L34" s="217">
        <v>48.3</v>
      </c>
      <c r="M34" s="55"/>
    </row>
    <row r="35" spans="1:13" ht="15" customHeight="1">
      <c r="A35" s="357"/>
      <c r="B35" s="358"/>
      <c r="C35" s="359"/>
      <c r="D35" s="147">
        <v>1</v>
      </c>
      <c r="E35" s="147"/>
      <c r="F35" s="137">
        <v>1</v>
      </c>
      <c r="G35" s="137">
        <v>1</v>
      </c>
      <c r="H35" s="137"/>
      <c r="I35" s="137"/>
      <c r="J35" s="147">
        <v>1936</v>
      </c>
      <c r="K35" s="147">
        <v>366</v>
      </c>
      <c r="L35" s="217">
        <v>48.3</v>
      </c>
      <c r="M35" s="55"/>
    </row>
    <row r="36" spans="1:13" ht="15" customHeight="1">
      <c r="A36" s="357"/>
      <c r="B36" s="358"/>
      <c r="C36" s="359"/>
      <c r="D36" s="147">
        <v>1</v>
      </c>
      <c r="E36" s="147"/>
      <c r="F36" s="137">
        <v>1</v>
      </c>
      <c r="G36" s="137">
        <v>1</v>
      </c>
      <c r="H36" s="137"/>
      <c r="I36" s="137"/>
      <c r="J36" s="147">
        <v>1929</v>
      </c>
      <c r="K36" s="96">
        <v>308</v>
      </c>
      <c r="L36" s="217">
        <v>48.3</v>
      </c>
      <c r="M36" s="55"/>
    </row>
    <row r="37" spans="1:13" ht="15" customHeight="1">
      <c r="A37" s="357"/>
      <c r="B37" s="358"/>
      <c r="C37" s="359"/>
      <c r="D37" s="147">
        <v>1</v>
      </c>
      <c r="E37" s="147">
        <v>1</v>
      </c>
      <c r="F37" s="137"/>
      <c r="G37" s="137">
        <v>1</v>
      </c>
      <c r="H37" s="137"/>
      <c r="I37" s="137"/>
      <c r="J37" s="147">
        <v>1928</v>
      </c>
      <c r="K37" s="96">
        <v>277</v>
      </c>
      <c r="L37" s="217">
        <v>48.3</v>
      </c>
      <c r="M37" s="55"/>
    </row>
    <row r="38" spans="1:13" ht="15" customHeight="1">
      <c r="A38" s="357"/>
      <c r="B38" s="358"/>
      <c r="C38" s="359"/>
      <c r="D38" s="147">
        <v>1</v>
      </c>
      <c r="E38" s="147">
        <v>1</v>
      </c>
      <c r="F38" s="137"/>
      <c r="G38" s="137">
        <v>1</v>
      </c>
      <c r="H38" s="137"/>
      <c r="I38" s="137"/>
      <c r="J38" s="147">
        <v>1923</v>
      </c>
      <c r="K38" s="147">
        <v>366</v>
      </c>
      <c r="L38" s="217">
        <v>48.3</v>
      </c>
      <c r="M38" s="55"/>
    </row>
    <row r="39" spans="1:13" ht="15" customHeight="1">
      <c r="A39" s="357"/>
      <c r="B39" s="358"/>
      <c r="C39" s="359"/>
      <c r="D39" s="147">
        <v>1</v>
      </c>
      <c r="E39" s="147">
        <v>1</v>
      </c>
      <c r="F39" s="137"/>
      <c r="G39" s="137">
        <v>1</v>
      </c>
      <c r="H39" s="137"/>
      <c r="I39" s="137"/>
      <c r="J39" s="147">
        <v>1943</v>
      </c>
      <c r="K39" s="96">
        <v>306</v>
      </c>
      <c r="L39" s="217">
        <v>48.3</v>
      </c>
      <c r="M39" s="55"/>
    </row>
    <row r="40" spans="1:13" s="133" customFormat="1" ht="15" customHeight="1">
      <c r="A40" s="374" t="s">
        <v>94</v>
      </c>
      <c r="B40" s="374"/>
      <c r="C40" s="84"/>
      <c r="D40" s="84">
        <f>SUM(D15:D39)</f>
        <v>25</v>
      </c>
      <c r="E40" s="84">
        <f>SUM(E15:E39)</f>
        <v>8</v>
      </c>
      <c r="F40" s="143">
        <f>SUM(F15:F39)</f>
        <v>17</v>
      </c>
      <c r="G40" s="143">
        <f>SUM(G15:G39)</f>
        <v>25</v>
      </c>
      <c r="H40" s="143">
        <v>0</v>
      </c>
      <c r="I40" s="143"/>
      <c r="J40" s="84"/>
      <c r="K40" s="143">
        <f>SUM(K15:K39)</f>
        <v>7950</v>
      </c>
      <c r="L40" s="84"/>
      <c r="M40" s="84"/>
    </row>
    <row r="41" spans="1:13" s="133" customFormat="1" ht="15" customHeight="1">
      <c r="A41" s="381" t="s">
        <v>79</v>
      </c>
      <c r="B41" s="381"/>
      <c r="C41" s="61"/>
      <c r="D41" s="171"/>
      <c r="E41" s="116"/>
      <c r="F41" s="189"/>
      <c r="G41" s="189"/>
      <c r="H41" s="189"/>
      <c r="I41" s="189"/>
      <c r="J41" s="116"/>
      <c r="K41" s="116"/>
      <c r="L41" s="116"/>
      <c r="M41" s="116"/>
    </row>
    <row r="42" spans="1:13" s="187" customFormat="1" ht="30.75" customHeight="1">
      <c r="A42" s="51" t="s">
        <v>5</v>
      </c>
      <c r="B42" s="51" t="s">
        <v>1</v>
      </c>
      <c r="C42" s="51" t="s">
        <v>3</v>
      </c>
      <c r="D42" s="51" t="s">
        <v>120</v>
      </c>
      <c r="E42" s="52" t="s">
        <v>90</v>
      </c>
      <c r="F42" s="52" t="s">
        <v>91</v>
      </c>
      <c r="G42" s="52" t="s">
        <v>140</v>
      </c>
      <c r="H42" s="52" t="s">
        <v>127</v>
      </c>
      <c r="I42" s="52" t="s">
        <v>159</v>
      </c>
      <c r="J42" s="52" t="s">
        <v>119</v>
      </c>
      <c r="K42" s="52" t="s">
        <v>125</v>
      </c>
      <c r="L42" s="186" t="s">
        <v>126</v>
      </c>
      <c r="M42" s="52" t="s">
        <v>47</v>
      </c>
    </row>
    <row r="43" spans="1:13" ht="15" customHeight="1">
      <c r="A43" s="367"/>
      <c r="B43" s="368"/>
      <c r="C43" s="359"/>
      <c r="D43" s="63">
        <v>1</v>
      </c>
      <c r="E43" s="63"/>
      <c r="F43" s="63">
        <v>1</v>
      </c>
      <c r="G43" s="177">
        <v>1</v>
      </c>
      <c r="H43" s="177"/>
      <c r="I43" s="177"/>
      <c r="J43" s="63">
        <v>1943</v>
      </c>
      <c r="K43" s="63">
        <v>366</v>
      </c>
      <c r="L43" s="188">
        <v>48.3</v>
      </c>
      <c r="M43" s="67"/>
    </row>
    <row r="44" spans="1:13" ht="15" customHeight="1">
      <c r="A44" s="367"/>
      <c r="B44" s="368"/>
      <c r="C44" s="359"/>
      <c r="D44" s="63">
        <v>1</v>
      </c>
      <c r="E44" s="63">
        <v>1</v>
      </c>
      <c r="F44" s="63"/>
      <c r="G44" s="177">
        <v>1</v>
      </c>
      <c r="H44" s="177"/>
      <c r="I44" s="177"/>
      <c r="J44" s="63">
        <v>1941</v>
      </c>
      <c r="K44" s="64">
        <v>28</v>
      </c>
      <c r="L44" s="188">
        <v>48.1</v>
      </c>
      <c r="M44" s="67"/>
    </row>
    <row r="45" spans="1:13" ht="15" customHeight="1">
      <c r="A45" s="374" t="s">
        <v>95</v>
      </c>
      <c r="B45" s="374"/>
      <c r="C45" s="84"/>
      <c r="D45" s="84">
        <f>SUM(D43:D44)</f>
        <v>2</v>
      </c>
      <c r="E45" s="84">
        <f>SUM(E43:E44)</f>
        <v>1</v>
      </c>
      <c r="F45" s="84">
        <f>SUM(F43:F44)</f>
        <v>1</v>
      </c>
      <c r="G45" s="143">
        <f>SUM(G43:G44)</f>
        <v>2</v>
      </c>
      <c r="H45" s="143">
        <v>0</v>
      </c>
      <c r="I45" s="143"/>
      <c r="J45" s="84"/>
      <c r="K45" s="143">
        <f>SUM(K43:K44)</f>
        <v>394</v>
      </c>
      <c r="L45" s="84"/>
      <c r="M45" s="84"/>
    </row>
    <row r="46" spans="1:13" ht="15" customHeight="1">
      <c r="A46" s="381" t="s">
        <v>80</v>
      </c>
      <c r="B46" s="381"/>
      <c r="C46" s="61"/>
      <c r="D46" s="171"/>
      <c r="E46" s="116"/>
      <c r="F46" s="116"/>
      <c r="G46" s="189"/>
      <c r="H46" s="189"/>
      <c r="I46" s="189"/>
      <c r="J46" s="116"/>
      <c r="K46" s="116"/>
      <c r="L46" s="116"/>
      <c r="M46" s="116"/>
    </row>
    <row r="47" spans="1:13" s="187" customFormat="1" ht="30.75" customHeight="1">
      <c r="A47" s="51" t="s">
        <v>5</v>
      </c>
      <c r="B47" s="51" t="s">
        <v>1</v>
      </c>
      <c r="C47" s="51" t="s">
        <v>3</v>
      </c>
      <c r="D47" s="51" t="s">
        <v>120</v>
      </c>
      <c r="E47" s="52" t="s">
        <v>90</v>
      </c>
      <c r="F47" s="52" t="s">
        <v>91</v>
      </c>
      <c r="G47" s="52" t="s">
        <v>140</v>
      </c>
      <c r="H47" s="52" t="s">
        <v>127</v>
      </c>
      <c r="I47" s="52" t="s">
        <v>159</v>
      </c>
      <c r="J47" s="52" t="s">
        <v>119</v>
      </c>
      <c r="K47" s="52" t="s">
        <v>125</v>
      </c>
      <c r="L47" s="186" t="s">
        <v>126</v>
      </c>
      <c r="M47" s="52" t="s">
        <v>47</v>
      </c>
    </row>
    <row r="48" spans="1:13" ht="15" customHeight="1">
      <c r="A48" s="357"/>
      <c r="B48" s="358"/>
      <c r="C48" s="359"/>
      <c r="D48" s="147">
        <v>1</v>
      </c>
      <c r="E48" s="147"/>
      <c r="F48" s="147">
        <v>1</v>
      </c>
      <c r="G48" s="137">
        <v>1</v>
      </c>
      <c r="H48" s="137"/>
      <c r="I48" s="137"/>
      <c r="J48" s="147">
        <v>1924</v>
      </c>
      <c r="K48" s="96">
        <v>12</v>
      </c>
      <c r="L48" s="217">
        <v>48.1</v>
      </c>
      <c r="M48" s="55"/>
    </row>
    <row r="49" spans="1:13" ht="15" customHeight="1">
      <c r="A49" s="357"/>
      <c r="B49" s="358"/>
      <c r="C49" s="359"/>
      <c r="D49" s="147">
        <v>1</v>
      </c>
      <c r="E49" s="147"/>
      <c r="F49" s="147">
        <v>1</v>
      </c>
      <c r="G49" s="137">
        <v>1</v>
      </c>
      <c r="H49" s="137"/>
      <c r="I49" s="137"/>
      <c r="J49" s="147">
        <v>1921</v>
      </c>
      <c r="K49" s="96">
        <v>329</v>
      </c>
      <c r="L49" s="217">
        <v>48.3</v>
      </c>
      <c r="M49" s="55"/>
    </row>
    <row r="50" spans="1:13" ht="15" customHeight="1">
      <c r="A50" s="357"/>
      <c r="B50" s="358"/>
      <c r="C50" s="359"/>
      <c r="D50" s="147">
        <v>1</v>
      </c>
      <c r="E50" s="147"/>
      <c r="F50" s="147">
        <v>1</v>
      </c>
      <c r="G50" s="137">
        <v>1</v>
      </c>
      <c r="H50" s="137"/>
      <c r="I50" s="137"/>
      <c r="J50" s="147">
        <v>1925</v>
      </c>
      <c r="K50" s="96">
        <v>327</v>
      </c>
      <c r="L50" s="217">
        <v>48.3</v>
      </c>
      <c r="M50" s="55"/>
    </row>
    <row r="51" spans="1:13" ht="15" customHeight="1">
      <c r="A51" s="357"/>
      <c r="B51" s="358"/>
      <c r="C51" s="359"/>
      <c r="D51" s="147">
        <v>1</v>
      </c>
      <c r="E51" s="147">
        <v>1</v>
      </c>
      <c r="F51" s="147"/>
      <c r="G51" s="137">
        <v>1</v>
      </c>
      <c r="H51" s="137"/>
      <c r="I51" s="137"/>
      <c r="J51" s="147">
        <v>1932</v>
      </c>
      <c r="K51" s="147">
        <v>366</v>
      </c>
      <c r="L51" s="217">
        <v>48.3</v>
      </c>
      <c r="M51" s="55"/>
    </row>
    <row r="52" spans="1:13" ht="15" customHeight="1">
      <c r="A52" s="357"/>
      <c r="B52" s="358"/>
      <c r="C52" s="359"/>
      <c r="D52" s="147">
        <v>1</v>
      </c>
      <c r="E52" s="147">
        <v>1</v>
      </c>
      <c r="F52" s="147"/>
      <c r="G52" s="137">
        <v>1</v>
      </c>
      <c r="H52" s="137"/>
      <c r="I52" s="137"/>
      <c r="J52" s="147">
        <v>1943</v>
      </c>
      <c r="K52" s="96">
        <v>27</v>
      </c>
      <c r="L52" s="217">
        <v>48.1</v>
      </c>
      <c r="M52" s="55"/>
    </row>
    <row r="53" spans="1:13" ht="15" customHeight="1">
      <c r="A53" s="357"/>
      <c r="B53" s="358"/>
      <c r="C53" s="359"/>
      <c r="D53" s="147">
        <v>1</v>
      </c>
      <c r="E53" s="147"/>
      <c r="F53" s="147">
        <v>1</v>
      </c>
      <c r="G53" s="137">
        <v>1</v>
      </c>
      <c r="H53" s="137"/>
      <c r="I53" s="137"/>
      <c r="J53" s="147">
        <v>1920</v>
      </c>
      <c r="K53" s="147">
        <v>366</v>
      </c>
      <c r="L53" s="217">
        <v>48.3</v>
      </c>
      <c r="M53" s="55"/>
    </row>
    <row r="54" spans="1:13" ht="15" customHeight="1">
      <c r="A54" s="357"/>
      <c r="B54" s="358"/>
      <c r="C54" s="359"/>
      <c r="D54" s="147">
        <v>1</v>
      </c>
      <c r="E54" s="147">
        <v>1</v>
      </c>
      <c r="F54" s="147"/>
      <c r="G54" s="137">
        <v>1</v>
      </c>
      <c r="H54" s="137"/>
      <c r="I54" s="137"/>
      <c r="J54" s="147">
        <v>1927</v>
      </c>
      <c r="K54" s="96">
        <v>4</v>
      </c>
      <c r="L54" s="217">
        <v>48.1</v>
      </c>
      <c r="M54" s="55"/>
    </row>
    <row r="55" spans="1:13" ht="15" customHeight="1">
      <c r="A55" s="357"/>
      <c r="B55" s="358"/>
      <c r="C55" s="359"/>
      <c r="D55" s="147">
        <v>1</v>
      </c>
      <c r="E55" s="147"/>
      <c r="F55" s="147">
        <v>1</v>
      </c>
      <c r="G55" s="137">
        <v>1</v>
      </c>
      <c r="H55" s="137"/>
      <c r="I55" s="137"/>
      <c r="J55" s="147">
        <v>1924</v>
      </c>
      <c r="K55" s="147">
        <v>366</v>
      </c>
      <c r="L55" s="217">
        <v>48.3</v>
      </c>
      <c r="M55" s="55"/>
    </row>
    <row r="56" spans="1:13" ht="15" customHeight="1">
      <c r="A56" s="357"/>
      <c r="B56" s="358"/>
      <c r="C56" s="359"/>
      <c r="D56" s="147">
        <v>1</v>
      </c>
      <c r="E56" s="147"/>
      <c r="F56" s="147">
        <v>1</v>
      </c>
      <c r="G56" s="137">
        <v>1</v>
      </c>
      <c r="H56" s="137"/>
      <c r="I56" s="137"/>
      <c r="J56" s="147">
        <v>1918</v>
      </c>
      <c r="K56" s="96">
        <v>314</v>
      </c>
      <c r="L56" s="217">
        <v>48.3</v>
      </c>
      <c r="M56" s="55"/>
    </row>
    <row r="57" spans="1:13" ht="15" customHeight="1">
      <c r="A57" s="357"/>
      <c r="B57" s="358"/>
      <c r="C57" s="359"/>
      <c r="D57" s="147">
        <v>1</v>
      </c>
      <c r="E57" s="147"/>
      <c r="F57" s="147">
        <v>1</v>
      </c>
      <c r="G57" s="137">
        <v>1</v>
      </c>
      <c r="H57" s="137"/>
      <c r="I57" s="137"/>
      <c r="J57" s="147">
        <v>1935</v>
      </c>
      <c r="K57" s="147">
        <v>366</v>
      </c>
      <c r="L57" s="217">
        <v>48.3</v>
      </c>
      <c r="M57" s="55"/>
    </row>
    <row r="58" spans="1:13" ht="15" customHeight="1">
      <c r="A58" s="357"/>
      <c r="B58" s="358"/>
      <c r="C58" s="359"/>
      <c r="D58" s="147">
        <v>1</v>
      </c>
      <c r="E58" s="147"/>
      <c r="F58" s="147">
        <v>1</v>
      </c>
      <c r="G58" s="137">
        <v>1</v>
      </c>
      <c r="H58" s="137"/>
      <c r="I58" s="137"/>
      <c r="J58" s="147">
        <v>1915</v>
      </c>
      <c r="K58" s="96">
        <v>348</v>
      </c>
      <c r="L58" s="217">
        <v>48.3</v>
      </c>
      <c r="M58" s="55"/>
    </row>
    <row r="59" spans="1:13" ht="15" customHeight="1">
      <c r="A59" s="357"/>
      <c r="B59" s="358"/>
      <c r="C59" s="359"/>
      <c r="D59" s="147">
        <v>1</v>
      </c>
      <c r="E59" s="147">
        <v>1</v>
      </c>
      <c r="F59" s="147"/>
      <c r="G59" s="137">
        <v>1</v>
      </c>
      <c r="H59" s="137"/>
      <c r="I59" s="137"/>
      <c r="J59" s="147">
        <v>1925</v>
      </c>
      <c r="K59" s="96">
        <v>7</v>
      </c>
      <c r="L59" s="217">
        <v>48.1</v>
      </c>
      <c r="M59" s="55"/>
    </row>
    <row r="60" spans="1:13" ht="15" customHeight="1">
      <c r="A60" s="357"/>
      <c r="B60" s="358"/>
      <c r="C60" s="359"/>
      <c r="D60" s="147">
        <v>1</v>
      </c>
      <c r="E60" s="147"/>
      <c r="F60" s="147">
        <v>1</v>
      </c>
      <c r="G60" s="137">
        <v>1</v>
      </c>
      <c r="H60" s="137"/>
      <c r="I60" s="137"/>
      <c r="J60" s="147">
        <v>1927</v>
      </c>
      <c r="K60" s="147">
        <v>366</v>
      </c>
      <c r="L60" s="217">
        <v>48.3</v>
      </c>
      <c r="M60" s="55"/>
    </row>
    <row r="61" spans="1:13" ht="15" customHeight="1">
      <c r="A61" s="357"/>
      <c r="B61" s="358"/>
      <c r="C61" s="359"/>
      <c r="D61" s="147">
        <v>1</v>
      </c>
      <c r="E61" s="147">
        <v>1</v>
      </c>
      <c r="F61" s="147"/>
      <c r="G61" s="137">
        <v>1</v>
      </c>
      <c r="H61" s="137"/>
      <c r="I61" s="137"/>
      <c r="J61" s="147">
        <v>1925</v>
      </c>
      <c r="K61" s="96">
        <v>4</v>
      </c>
      <c r="L61" s="217">
        <v>48.1</v>
      </c>
      <c r="M61" s="55"/>
    </row>
    <row r="62" spans="1:13" ht="15" customHeight="1">
      <c r="A62" s="357"/>
      <c r="B62" s="358"/>
      <c r="C62" s="359"/>
      <c r="D62" s="147">
        <v>1</v>
      </c>
      <c r="E62" s="147"/>
      <c r="F62" s="147">
        <v>1</v>
      </c>
      <c r="G62" s="137">
        <v>1</v>
      </c>
      <c r="H62" s="137"/>
      <c r="I62" s="137"/>
      <c r="J62" s="147">
        <v>1929</v>
      </c>
      <c r="K62" s="96">
        <v>58</v>
      </c>
      <c r="L62" s="217">
        <v>48.1</v>
      </c>
      <c r="M62" s="55"/>
    </row>
    <row r="63" spans="1:13" ht="15" customHeight="1">
      <c r="A63" s="374" t="s">
        <v>96</v>
      </c>
      <c r="B63" s="374"/>
      <c r="C63" s="84"/>
      <c r="D63" s="84">
        <f>SUM(D48:D62)</f>
        <v>15</v>
      </c>
      <c r="E63" s="84">
        <f>SUM(E48:E62)</f>
        <v>5</v>
      </c>
      <c r="F63" s="84">
        <f>SUM(F48:F62)</f>
        <v>10</v>
      </c>
      <c r="G63" s="143">
        <f>SUM(G48:G62)</f>
        <v>15</v>
      </c>
      <c r="H63" s="143">
        <v>0</v>
      </c>
      <c r="I63" s="143"/>
      <c r="J63" s="84"/>
      <c r="K63" s="143">
        <f>SUM(K48:K62)</f>
        <v>3260</v>
      </c>
      <c r="L63" s="84"/>
      <c r="M63" s="84"/>
    </row>
    <row r="64" spans="1:13" ht="15" customHeight="1">
      <c r="A64" s="381" t="s">
        <v>81</v>
      </c>
      <c r="B64" s="381"/>
      <c r="C64" s="61"/>
      <c r="D64" s="171"/>
      <c r="E64" s="116"/>
      <c r="F64" s="116"/>
      <c r="G64" s="189"/>
      <c r="H64" s="189"/>
      <c r="I64" s="189"/>
      <c r="J64" s="116"/>
      <c r="K64" s="116"/>
      <c r="L64" s="116"/>
      <c r="M64" s="116"/>
    </row>
    <row r="65" spans="1:13" s="187" customFormat="1" ht="30.75" customHeight="1">
      <c r="A65" s="51" t="s">
        <v>5</v>
      </c>
      <c r="B65" s="51" t="s">
        <v>1</v>
      </c>
      <c r="C65" s="51" t="s">
        <v>3</v>
      </c>
      <c r="D65" s="51" t="s">
        <v>120</v>
      </c>
      <c r="E65" s="52" t="s">
        <v>90</v>
      </c>
      <c r="F65" s="52" t="s">
        <v>91</v>
      </c>
      <c r="G65" s="52" t="s">
        <v>140</v>
      </c>
      <c r="H65" s="52" t="s">
        <v>127</v>
      </c>
      <c r="I65" s="52" t="s">
        <v>159</v>
      </c>
      <c r="J65" s="52" t="s">
        <v>119</v>
      </c>
      <c r="K65" s="52" t="s">
        <v>125</v>
      </c>
      <c r="L65" s="186" t="s">
        <v>126</v>
      </c>
      <c r="M65" s="52" t="s">
        <v>47</v>
      </c>
    </row>
    <row r="66" spans="1:13" ht="15" customHeight="1">
      <c r="A66" s="357"/>
      <c r="B66" s="358"/>
      <c r="C66" s="359"/>
      <c r="D66" s="147">
        <v>1</v>
      </c>
      <c r="E66" s="147"/>
      <c r="F66" s="147">
        <v>1</v>
      </c>
      <c r="G66" s="137">
        <v>1</v>
      </c>
      <c r="H66" s="137"/>
      <c r="I66" s="137"/>
      <c r="J66" s="147">
        <v>1916</v>
      </c>
      <c r="K66" s="147">
        <v>366</v>
      </c>
      <c r="L66" s="217">
        <v>48.3</v>
      </c>
      <c r="M66" s="55"/>
    </row>
    <row r="67" spans="1:13" ht="15" customHeight="1">
      <c r="A67" s="357"/>
      <c r="B67" s="358"/>
      <c r="C67" s="359"/>
      <c r="D67" s="147">
        <v>1</v>
      </c>
      <c r="E67" s="147"/>
      <c r="F67" s="147">
        <v>1</v>
      </c>
      <c r="G67" s="137">
        <v>1</v>
      </c>
      <c r="H67" s="137"/>
      <c r="I67" s="137"/>
      <c r="J67" s="147">
        <v>1924</v>
      </c>
      <c r="K67" s="147">
        <v>325</v>
      </c>
      <c r="L67" s="217">
        <v>48.3</v>
      </c>
      <c r="M67" s="55"/>
    </row>
    <row r="68" spans="1:13" ht="15" customHeight="1">
      <c r="A68" s="357"/>
      <c r="B68" s="358"/>
      <c r="C68" s="359"/>
      <c r="D68" s="147">
        <v>1</v>
      </c>
      <c r="E68" s="147"/>
      <c r="F68" s="147">
        <v>1</v>
      </c>
      <c r="G68" s="137">
        <v>1</v>
      </c>
      <c r="H68" s="137"/>
      <c r="I68" s="137"/>
      <c r="J68" s="147">
        <v>1925</v>
      </c>
      <c r="K68" s="147">
        <v>365</v>
      </c>
      <c r="L68" s="217">
        <v>48.1</v>
      </c>
      <c r="M68" s="55"/>
    </row>
    <row r="69" spans="1:13" ht="15" customHeight="1">
      <c r="A69" s="357"/>
      <c r="B69" s="358"/>
      <c r="C69" s="359"/>
      <c r="D69" s="147">
        <v>1</v>
      </c>
      <c r="E69" s="147"/>
      <c r="F69" s="147">
        <v>1</v>
      </c>
      <c r="G69" s="137">
        <v>1</v>
      </c>
      <c r="H69" s="257"/>
      <c r="I69" s="137"/>
      <c r="J69" s="147">
        <v>1915</v>
      </c>
      <c r="K69" s="147">
        <v>157</v>
      </c>
      <c r="L69" s="217">
        <v>48.3</v>
      </c>
      <c r="M69" s="55"/>
    </row>
    <row r="70" spans="1:13" ht="15" customHeight="1">
      <c r="A70" s="357"/>
      <c r="B70" s="358"/>
      <c r="C70" s="359"/>
      <c r="D70" s="147">
        <v>1</v>
      </c>
      <c r="E70" s="147"/>
      <c r="F70" s="147">
        <v>1</v>
      </c>
      <c r="G70" s="137">
        <v>1</v>
      </c>
      <c r="H70" s="257"/>
      <c r="I70" s="137"/>
      <c r="J70" s="147">
        <v>1931</v>
      </c>
      <c r="K70" s="147">
        <v>366</v>
      </c>
      <c r="L70" s="217">
        <v>48.1</v>
      </c>
      <c r="M70" s="55"/>
    </row>
    <row r="71" spans="1:13" ht="15" customHeight="1">
      <c r="A71" s="357"/>
      <c r="B71" s="358"/>
      <c r="C71" s="359"/>
      <c r="D71" s="147">
        <v>1</v>
      </c>
      <c r="E71" s="147"/>
      <c r="F71" s="147">
        <v>1</v>
      </c>
      <c r="G71" s="137">
        <v>1</v>
      </c>
      <c r="H71" s="257"/>
      <c r="I71" s="137"/>
      <c r="J71" s="147">
        <v>1928</v>
      </c>
      <c r="K71" s="147">
        <v>366</v>
      </c>
      <c r="L71" s="217">
        <v>48.1</v>
      </c>
      <c r="M71" s="55"/>
    </row>
    <row r="72" spans="1:13" ht="15" customHeight="1">
      <c r="A72" s="357"/>
      <c r="B72" s="358"/>
      <c r="C72" s="359"/>
      <c r="D72" s="147">
        <v>1</v>
      </c>
      <c r="E72" s="147"/>
      <c r="F72" s="147">
        <v>1</v>
      </c>
      <c r="G72" s="137">
        <v>1</v>
      </c>
      <c r="H72" s="137"/>
      <c r="I72" s="137"/>
      <c r="J72" s="147">
        <v>1914</v>
      </c>
      <c r="K72" s="147">
        <v>143</v>
      </c>
      <c r="L72" s="217">
        <v>48.06</v>
      </c>
      <c r="M72" s="55"/>
    </row>
    <row r="73" spans="1:13" ht="15" customHeight="1">
      <c r="A73" s="357"/>
      <c r="B73" s="358"/>
      <c r="C73" s="359"/>
      <c r="D73" s="147">
        <v>1</v>
      </c>
      <c r="E73" s="147"/>
      <c r="F73" s="147">
        <v>1</v>
      </c>
      <c r="G73" s="137">
        <v>1</v>
      </c>
      <c r="H73" s="137"/>
      <c r="I73" s="137"/>
      <c r="J73" s="147">
        <v>1935</v>
      </c>
      <c r="K73" s="147">
        <v>33</v>
      </c>
      <c r="L73" s="217">
        <v>48.02</v>
      </c>
      <c r="M73" s="55"/>
    </row>
    <row r="74" spans="1:13" ht="15" customHeight="1">
      <c r="A74" s="374" t="s">
        <v>97</v>
      </c>
      <c r="B74" s="374"/>
      <c r="C74" s="84"/>
      <c r="D74" s="84">
        <f>SUM(D66:D73)</f>
        <v>8</v>
      </c>
      <c r="E74" s="84">
        <f>SUM(E66:E73)</f>
        <v>0</v>
      </c>
      <c r="F74" s="84">
        <f>SUM(F66:F73)</f>
        <v>8</v>
      </c>
      <c r="G74" s="143">
        <f>SUM(G66:G73)</f>
        <v>8</v>
      </c>
      <c r="H74" s="143">
        <v>0</v>
      </c>
      <c r="I74" s="143"/>
      <c r="J74" s="84"/>
      <c r="K74" s="143">
        <f>SUM(K66:K73)</f>
        <v>2121</v>
      </c>
      <c r="L74" s="84"/>
      <c r="M74" s="84"/>
    </row>
    <row r="75" spans="1:13" ht="15" customHeight="1">
      <c r="A75" s="381" t="s">
        <v>82</v>
      </c>
      <c r="B75" s="381"/>
      <c r="C75" s="61"/>
      <c r="D75" s="171"/>
      <c r="E75" s="116"/>
      <c r="F75" s="116"/>
      <c r="G75" s="189"/>
      <c r="H75" s="189"/>
      <c r="I75" s="189"/>
      <c r="J75" s="116"/>
      <c r="K75" s="116"/>
      <c r="L75" s="116"/>
      <c r="M75" s="116"/>
    </row>
    <row r="76" spans="1:13" s="187" customFormat="1" ht="30.75" customHeight="1">
      <c r="A76" s="51" t="s">
        <v>5</v>
      </c>
      <c r="B76" s="51" t="s">
        <v>1</v>
      </c>
      <c r="C76" s="51" t="s">
        <v>3</v>
      </c>
      <c r="D76" s="51" t="s">
        <v>120</v>
      </c>
      <c r="E76" s="52" t="s">
        <v>90</v>
      </c>
      <c r="F76" s="52" t="s">
        <v>91</v>
      </c>
      <c r="G76" s="52" t="s">
        <v>140</v>
      </c>
      <c r="H76" s="52" t="s">
        <v>127</v>
      </c>
      <c r="I76" s="52" t="s">
        <v>159</v>
      </c>
      <c r="J76" s="52" t="s">
        <v>119</v>
      </c>
      <c r="K76" s="52" t="s">
        <v>125</v>
      </c>
      <c r="L76" s="186" t="s">
        <v>126</v>
      </c>
      <c r="M76" s="52" t="s">
        <v>47</v>
      </c>
    </row>
    <row r="77" spans="1:13" ht="15" customHeight="1">
      <c r="A77" s="374" t="s">
        <v>146</v>
      </c>
      <c r="B77" s="374"/>
      <c r="C77" s="84"/>
      <c r="D77" s="84">
        <v>0</v>
      </c>
      <c r="E77" s="84">
        <f>SUM(E69:E76)</f>
        <v>0</v>
      </c>
      <c r="F77" s="84">
        <v>0</v>
      </c>
      <c r="G77" s="143">
        <v>0</v>
      </c>
      <c r="H77" s="143">
        <v>0</v>
      </c>
      <c r="I77" s="143"/>
      <c r="J77" s="84"/>
      <c r="K77" s="143">
        <v>0</v>
      </c>
      <c r="L77" s="84"/>
      <c r="M77" s="84"/>
    </row>
    <row r="78" spans="1:13" ht="15" customHeight="1">
      <c r="A78" s="381" t="s">
        <v>83</v>
      </c>
      <c r="B78" s="381"/>
      <c r="C78" s="61"/>
      <c r="D78" s="171"/>
      <c r="E78" s="116"/>
      <c r="F78" s="116"/>
      <c r="G78" s="189"/>
      <c r="H78" s="189"/>
      <c r="I78" s="189"/>
      <c r="J78" s="116"/>
      <c r="K78" s="116"/>
      <c r="L78" s="116"/>
      <c r="M78" s="116"/>
    </row>
    <row r="79" spans="1:13" s="187" customFormat="1" ht="30.75" customHeight="1">
      <c r="A79" s="51" t="s">
        <v>5</v>
      </c>
      <c r="B79" s="51" t="s">
        <v>1</v>
      </c>
      <c r="C79" s="51" t="s">
        <v>3</v>
      </c>
      <c r="D79" s="51" t="s">
        <v>120</v>
      </c>
      <c r="E79" s="52" t="s">
        <v>90</v>
      </c>
      <c r="F79" s="52" t="s">
        <v>91</v>
      </c>
      <c r="G79" s="52" t="s">
        <v>140</v>
      </c>
      <c r="H79" s="52" t="s">
        <v>127</v>
      </c>
      <c r="I79" s="52" t="s">
        <v>159</v>
      </c>
      <c r="J79" s="52" t="s">
        <v>119</v>
      </c>
      <c r="K79" s="52" t="s">
        <v>125</v>
      </c>
      <c r="L79" s="186" t="s">
        <v>126</v>
      </c>
      <c r="M79" s="52" t="s">
        <v>47</v>
      </c>
    </row>
    <row r="80" spans="1:13" ht="15" customHeight="1">
      <c r="A80" s="357"/>
      <c r="B80" s="358"/>
      <c r="C80" s="359"/>
      <c r="D80" s="147">
        <v>1</v>
      </c>
      <c r="E80" s="147"/>
      <c r="F80" s="147">
        <v>1</v>
      </c>
      <c r="G80" s="137">
        <v>1</v>
      </c>
      <c r="H80" s="137"/>
      <c r="I80" s="137"/>
      <c r="J80" s="147">
        <v>1919</v>
      </c>
      <c r="K80" s="147">
        <v>366</v>
      </c>
      <c r="L80" s="217">
        <v>48.3</v>
      </c>
      <c r="M80" s="141"/>
    </row>
    <row r="81" spans="1:13" ht="15" customHeight="1">
      <c r="A81" s="357"/>
      <c r="B81" s="358"/>
      <c r="C81" s="359"/>
      <c r="D81" s="147">
        <v>1</v>
      </c>
      <c r="E81" s="147"/>
      <c r="F81" s="147">
        <v>1</v>
      </c>
      <c r="G81" s="137">
        <v>1</v>
      </c>
      <c r="H81" s="137"/>
      <c r="I81" s="137"/>
      <c r="J81" s="147">
        <v>1927</v>
      </c>
      <c r="K81" s="147">
        <v>366</v>
      </c>
      <c r="L81" s="217">
        <v>48.3</v>
      </c>
      <c r="M81" s="141"/>
    </row>
    <row r="82" spans="1:13" ht="15" customHeight="1">
      <c r="A82" s="357"/>
      <c r="B82" s="358"/>
      <c r="C82" s="359"/>
      <c r="D82" s="147">
        <v>1</v>
      </c>
      <c r="E82" s="147"/>
      <c r="F82" s="147">
        <v>1</v>
      </c>
      <c r="G82" s="137">
        <v>1</v>
      </c>
      <c r="H82" s="137"/>
      <c r="I82" s="137"/>
      <c r="J82" s="147">
        <v>1920</v>
      </c>
      <c r="K82" s="147">
        <v>32</v>
      </c>
      <c r="L82" s="217">
        <v>48.1</v>
      </c>
      <c r="M82" s="141"/>
    </row>
    <row r="83" spans="1:13" ht="15" customHeight="1">
      <c r="A83" s="357"/>
      <c r="B83" s="358"/>
      <c r="C83" s="359"/>
      <c r="D83" s="147">
        <v>1</v>
      </c>
      <c r="E83" s="147"/>
      <c r="F83" s="147">
        <v>1</v>
      </c>
      <c r="G83" s="137">
        <v>1</v>
      </c>
      <c r="H83" s="137"/>
      <c r="I83" s="137"/>
      <c r="J83" s="147">
        <v>1921</v>
      </c>
      <c r="K83" s="147">
        <v>366</v>
      </c>
      <c r="L83" s="217">
        <v>48.3</v>
      </c>
      <c r="M83" s="141"/>
    </row>
    <row r="84" spans="1:13" ht="15" customHeight="1">
      <c r="A84" s="357"/>
      <c r="B84" s="358"/>
      <c r="C84" s="359"/>
      <c r="D84" s="147">
        <v>1</v>
      </c>
      <c r="E84" s="147"/>
      <c r="F84" s="147">
        <v>1</v>
      </c>
      <c r="G84" s="137">
        <v>1</v>
      </c>
      <c r="H84" s="137"/>
      <c r="I84" s="137"/>
      <c r="J84" s="147">
        <v>1927</v>
      </c>
      <c r="K84" s="147">
        <v>366</v>
      </c>
      <c r="L84" s="217">
        <v>48.3</v>
      </c>
      <c r="M84" s="141"/>
    </row>
    <row r="85" spans="1:13" ht="15" customHeight="1">
      <c r="A85" s="374" t="s">
        <v>98</v>
      </c>
      <c r="B85" s="374"/>
      <c r="C85" s="84"/>
      <c r="D85" s="84">
        <f>SUM(D80:D84)</f>
        <v>5</v>
      </c>
      <c r="E85" s="84">
        <v>0</v>
      </c>
      <c r="F85" s="84">
        <f>SUM(F80:F84)</f>
        <v>5</v>
      </c>
      <c r="G85" s="143">
        <f>SUM(G80:G84)</f>
        <v>5</v>
      </c>
      <c r="H85" s="143">
        <v>0</v>
      </c>
      <c r="I85" s="181"/>
      <c r="J85" s="72"/>
      <c r="K85" s="143">
        <f>SUM(K80:K84)</f>
        <v>1496</v>
      </c>
      <c r="L85" s="72"/>
      <c r="M85" s="72"/>
    </row>
    <row r="86" spans="1:13" ht="15" customHeight="1">
      <c r="A86" s="381" t="s">
        <v>84</v>
      </c>
      <c r="B86" s="381"/>
      <c r="C86" s="61"/>
      <c r="D86" s="190"/>
      <c r="E86" s="61"/>
      <c r="F86" s="61"/>
      <c r="G86" s="191"/>
      <c r="H86" s="191"/>
      <c r="I86" s="191"/>
      <c r="J86" s="61"/>
      <c r="K86" s="61"/>
      <c r="L86" s="61"/>
      <c r="M86" s="61"/>
    </row>
    <row r="87" spans="1:13" ht="33" customHeight="1">
      <c r="A87" s="51" t="s">
        <v>5</v>
      </c>
      <c r="B87" s="51" t="s">
        <v>1</v>
      </c>
      <c r="C87" s="51" t="s">
        <v>3</v>
      </c>
      <c r="D87" s="51" t="s">
        <v>120</v>
      </c>
      <c r="E87" s="52" t="s">
        <v>90</v>
      </c>
      <c r="F87" s="52" t="s">
        <v>91</v>
      </c>
      <c r="G87" s="52" t="s">
        <v>140</v>
      </c>
      <c r="H87" s="52" t="s">
        <v>127</v>
      </c>
      <c r="I87" s="52" t="s">
        <v>159</v>
      </c>
      <c r="J87" s="52" t="s">
        <v>119</v>
      </c>
      <c r="K87" s="52" t="s">
        <v>125</v>
      </c>
      <c r="L87" s="186" t="s">
        <v>126</v>
      </c>
      <c r="M87" s="52" t="s">
        <v>47</v>
      </c>
    </row>
    <row r="88" spans="1:13" ht="15" customHeight="1">
      <c r="A88" s="357"/>
      <c r="B88" s="358"/>
      <c r="C88" s="359"/>
      <c r="D88" s="147">
        <v>1</v>
      </c>
      <c r="E88" s="147"/>
      <c r="F88" s="147">
        <v>1</v>
      </c>
      <c r="G88" s="137">
        <v>1</v>
      </c>
      <c r="H88" s="137"/>
      <c r="I88" s="137"/>
      <c r="J88" s="147">
        <v>1926</v>
      </c>
      <c r="K88" s="147">
        <v>366</v>
      </c>
      <c r="L88" s="217">
        <v>48.3</v>
      </c>
      <c r="M88" s="141"/>
    </row>
    <row r="89" spans="1:13" ht="15" customHeight="1">
      <c r="A89" s="374" t="s">
        <v>99</v>
      </c>
      <c r="B89" s="374"/>
      <c r="C89" s="84"/>
      <c r="D89" s="84">
        <v>1</v>
      </c>
      <c r="E89" s="84">
        <v>0</v>
      </c>
      <c r="F89" s="84">
        <f>SUM(F88)</f>
        <v>1</v>
      </c>
      <c r="G89" s="143">
        <f>SUM(G88)</f>
        <v>1</v>
      </c>
      <c r="H89" s="143">
        <v>0</v>
      </c>
      <c r="I89" s="143"/>
      <c r="J89" s="84"/>
      <c r="K89" s="84">
        <f>SUM(K88)</f>
        <v>366</v>
      </c>
      <c r="L89" s="84"/>
      <c r="M89" s="84"/>
    </row>
    <row r="90" spans="1:13" ht="15" customHeight="1">
      <c r="A90" s="381" t="s">
        <v>85</v>
      </c>
      <c r="B90" s="381"/>
      <c r="C90" s="61"/>
      <c r="D90" s="171"/>
      <c r="E90" s="116"/>
      <c r="F90" s="116"/>
      <c r="G90" s="189"/>
      <c r="H90" s="189"/>
      <c r="I90" s="189"/>
      <c r="J90" s="116"/>
      <c r="K90" s="116"/>
      <c r="L90" s="116"/>
      <c r="M90" s="116"/>
    </row>
    <row r="91" spans="1:13" s="187" customFormat="1" ht="30.75" customHeight="1">
      <c r="A91" s="51" t="s">
        <v>5</v>
      </c>
      <c r="B91" s="51" t="s">
        <v>1</v>
      </c>
      <c r="C91" s="51" t="s">
        <v>3</v>
      </c>
      <c r="D91" s="51" t="s">
        <v>120</v>
      </c>
      <c r="E91" s="52" t="s">
        <v>90</v>
      </c>
      <c r="F91" s="52" t="s">
        <v>91</v>
      </c>
      <c r="G91" s="52" t="s">
        <v>140</v>
      </c>
      <c r="H91" s="52" t="s">
        <v>127</v>
      </c>
      <c r="I91" s="52" t="s">
        <v>159</v>
      </c>
      <c r="J91" s="52" t="s">
        <v>119</v>
      </c>
      <c r="K91" s="52" t="s">
        <v>125</v>
      </c>
      <c r="L91" s="186" t="s">
        <v>126</v>
      </c>
      <c r="M91" s="52" t="s">
        <v>47</v>
      </c>
    </row>
    <row r="92" spans="1:13" ht="15" customHeight="1">
      <c r="A92" s="357"/>
      <c r="B92" s="358"/>
      <c r="C92" s="359"/>
      <c r="D92" s="147">
        <v>1</v>
      </c>
      <c r="E92" s="147"/>
      <c r="F92" s="147">
        <v>1</v>
      </c>
      <c r="G92" s="137">
        <v>1</v>
      </c>
      <c r="H92" s="257"/>
      <c r="I92" s="137"/>
      <c r="J92" s="147">
        <v>1923</v>
      </c>
      <c r="K92" s="96">
        <v>132</v>
      </c>
      <c r="L92" s="217">
        <v>48.1</v>
      </c>
      <c r="M92" s="141"/>
    </row>
    <row r="93" spans="1:13" ht="15" customHeight="1">
      <c r="A93" s="357"/>
      <c r="B93" s="358"/>
      <c r="C93" s="359"/>
      <c r="D93" s="147">
        <v>1</v>
      </c>
      <c r="E93" s="147"/>
      <c r="F93" s="147">
        <v>1</v>
      </c>
      <c r="G93" s="137">
        <v>1</v>
      </c>
      <c r="H93" s="257"/>
      <c r="I93" s="137"/>
      <c r="J93" s="147">
        <v>1929</v>
      </c>
      <c r="K93" s="147">
        <v>212</v>
      </c>
      <c r="L93" s="217">
        <v>48.5</v>
      </c>
      <c r="M93" s="141"/>
    </row>
    <row r="94" spans="1:13" ht="15" customHeight="1">
      <c r="A94" s="357"/>
      <c r="B94" s="358"/>
      <c r="C94" s="359"/>
      <c r="D94" s="147">
        <v>1</v>
      </c>
      <c r="E94" s="147"/>
      <c r="F94" s="147">
        <v>1</v>
      </c>
      <c r="G94" s="137">
        <v>1</v>
      </c>
      <c r="H94" s="257"/>
      <c r="I94" s="137"/>
      <c r="J94" s="147">
        <v>1930</v>
      </c>
      <c r="K94" s="147">
        <v>366</v>
      </c>
      <c r="L94" s="217">
        <v>48.3</v>
      </c>
      <c r="M94" s="141"/>
    </row>
    <row r="95" spans="1:13" ht="15" customHeight="1">
      <c r="A95" s="357"/>
      <c r="B95" s="358"/>
      <c r="C95" s="359"/>
      <c r="D95" s="147">
        <v>1</v>
      </c>
      <c r="E95" s="147"/>
      <c r="F95" s="147">
        <v>1</v>
      </c>
      <c r="G95" s="137">
        <v>1</v>
      </c>
      <c r="H95" s="137"/>
      <c r="I95" s="137"/>
      <c r="J95" s="147">
        <v>1920</v>
      </c>
      <c r="K95" s="147">
        <v>366</v>
      </c>
      <c r="L95" s="217">
        <v>48.3</v>
      </c>
      <c r="M95" s="141"/>
    </row>
    <row r="96" spans="1:13" ht="15" customHeight="1">
      <c r="A96" s="357"/>
      <c r="B96" s="358"/>
      <c r="C96" s="359"/>
      <c r="D96" s="147">
        <v>1</v>
      </c>
      <c r="E96" s="147">
        <v>1</v>
      </c>
      <c r="F96" s="147"/>
      <c r="G96" s="137">
        <v>1</v>
      </c>
      <c r="H96" s="137"/>
      <c r="I96" s="137"/>
      <c r="J96" s="147">
        <v>1937</v>
      </c>
      <c r="K96" s="147">
        <v>280</v>
      </c>
      <c r="L96" s="217">
        <v>48.3</v>
      </c>
      <c r="M96" s="141"/>
    </row>
    <row r="97" spans="1:13" ht="15" customHeight="1">
      <c r="A97" s="357"/>
      <c r="B97" s="358"/>
      <c r="C97" s="359"/>
      <c r="D97" s="147">
        <v>1</v>
      </c>
      <c r="E97" s="147"/>
      <c r="F97" s="147">
        <v>1</v>
      </c>
      <c r="G97" s="137">
        <v>1</v>
      </c>
      <c r="H97" s="137"/>
      <c r="I97" s="137"/>
      <c r="J97" s="147">
        <v>1917</v>
      </c>
      <c r="K97" s="147">
        <v>82</v>
      </c>
      <c r="L97" s="217">
        <v>48.1</v>
      </c>
      <c r="M97" s="141"/>
    </row>
    <row r="98" spans="1:15" ht="15" customHeight="1">
      <c r="A98" s="357"/>
      <c r="B98" s="358"/>
      <c r="C98" s="359"/>
      <c r="D98" s="147">
        <v>1</v>
      </c>
      <c r="E98" s="147"/>
      <c r="F98" s="147">
        <v>1</v>
      </c>
      <c r="G98" s="137">
        <v>1</v>
      </c>
      <c r="H98" s="137"/>
      <c r="I98" s="137"/>
      <c r="J98" s="147">
        <v>1931</v>
      </c>
      <c r="K98" s="147">
        <v>326</v>
      </c>
      <c r="L98" s="217">
        <v>48.3</v>
      </c>
      <c r="M98" s="141"/>
      <c r="O98" s="192"/>
    </row>
    <row r="99" spans="1:15" ht="15" customHeight="1">
      <c r="A99" s="357"/>
      <c r="B99" s="358"/>
      <c r="C99" s="359"/>
      <c r="D99" s="147">
        <v>1</v>
      </c>
      <c r="E99" s="147"/>
      <c r="F99" s="147">
        <v>1</v>
      </c>
      <c r="G99" s="137">
        <v>1</v>
      </c>
      <c r="H99" s="137"/>
      <c r="I99" s="137"/>
      <c r="J99" s="147">
        <v>1939</v>
      </c>
      <c r="K99" s="147">
        <v>366</v>
      </c>
      <c r="L99" s="217">
        <v>48.3</v>
      </c>
      <c r="M99" s="141"/>
      <c r="O99" s="192"/>
    </row>
    <row r="100" spans="1:13" ht="15" customHeight="1">
      <c r="A100" s="357"/>
      <c r="B100" s="358"/>
      <c r="C100" s="359"/>
      <c r="D100" s="147">
        <v>1</v>
      </c>
      <c r="E100" s="147"/>
      <c r="F100" s="147">
        <v>1</v>
      </c>
      <c r="G100" s="137">
        <v>1</v>
      </c>
      <c r="H100" s="137"/>
      <c r="I100" s="137"/>
      <c r="J100" s="147">
        <v>1921</v>
      </c>
      <c r="K100" s="147">
        <v>366</v>
      </c>
      <c r="L100" s="217">
        <v>48.3</v>
      </c>
      <c r="M100" s="141"/>
    </row>
    <row r="101" spans="1:13" ht="15" customHeight="1">
      <c r="A101" s="357"/>
      <c r="B101" s="358"/>
      <c r="C101" s="359"/>
      <c r="D101" s="147">
        <v>1</v>
      </c>
      <c r="E101" s="147"/>
      <c r="F101" s="147">
        <v>1</v>
      </c>
      <c r="G101" s="137">
        <v>1</v>
      </c>
      <c r="H101" s="137"/>
      <c r="I101" s="137"/>
      <c r="J101" s="147">
        <v>1920</v>
      </c>
      <c r="K101" s="147">
        <f>31+4</f>
        <v>35</v>
      </c>
      <c r="L101" s="217">
        <v>48.1</v>
      </c>
      <c r="M101" s="141"/>
    </row>
    <row r="102" spans="1:13" ht="15" customHeight="1">
      <c r="A102" s="357"/>
      <c r="B102" s="358"/>
      <c r="C102" s="359"/>
      <c r="D102" s="147">
        <v>1</v>
      </c>
      <c r="E102" s="147"/>
      <c r="F102" s="147">
        <v>1</v>
      </c>
      <c r="G102" s="137">
        <v>1</v>
      </c>
      <c r="H102" s="137"/>
      <c r="I102" s="137"/>
      <c r="J102" s="147">
        <v>1925</v>
      </c>
      <c r="K102" s="147">
        <v>366</v>
      </c>
      <c r="L102" s="217">
        <v>48.3</v>
      </c>
      <c r="M102" s="141"/>
    </row>
    <row r="103" spans="1:13" ht="15" customHeight="1">
      <c r="A103" s="357"/>
      <c r="B103" s="358"/>
      <c r="C103" s="359"/>
      <c r="D103" s="147">
        <v>1</v>
      </c>
      <c r="E103" s="147">
        <v>1</v>
      </c>
      <c r="F103" s="147"/>
      <c r="G103" s="137">
        <v>1</v>
      </c>
      <c r="H103" s="137"/>
      <c r="I103" s="137"/>
      <c r="J103" s="147">
        <v>1923</v>
      </c>
      <c r="K103" s="147">
        <v>366</v>
      </c>
      <c r="L103" s="217">
        <v>48.3</v>
      </c>
      <c r="M103" s="141"/>
    </row>
    <row r="104" spans="1:13" ht="15" customHeight="1">
      <c r="A104" s="357"/>
      <c r="B104" s="358"/>
      <c r="C104" s="359"/>
      <c r="D104" s="147">
        <v>1</v>
      </c>
      <c r="E104" s="147"/>
      <c r="F104" s="147">
        <v>1</v>
      </c>
      <c r="G104" s="137">
        <v>1</v>
      </c>
      <c r="H104" s="137"/>
      <c r="I104" s="137"/>
      <c r="J104" s="147">
        <v>1922</v>
      </c>
      <c r="K104" s="147">
        <v>366</v>
      </c>
      <c r="L104" s="217">
        <v>48.3</v>
      </c>
      <c r="M104" s="141"/>
    </row>
    <row r="105" spans="1:13" ht="15" customHeight="1">
      <c r="A105" s="357"/>
      <c r="B105" s="358"/>
      <c r="C105" s="359"/>
      <c r="D105" s="147">
        <v>1</v>
      </c>
      <c r="E105" s="147"/>
      <c r="F105" s="147">
        <v>1</v>
      </c>
      <c r="G105" s="137">
        <v>1</v>
      </c>
      <c r="H105" s="137"/>
      <c r="I105" s="137"/>
      <c r="J105" s="147">
        <v>1932</v>
      </c>
      <c r="K105" s="147">
        <v>339</v>
      </c>
      <c r="L105" s="217">
        <v>48.3</v>
      </c>
      <c r="M105" s="141"/>
    </row>
    <row r="106" spans="1:13" ht="15" customHeight="1">
      <c r="A106" s="357"/>
      <c r="B106" s="358"/>
      <c r="C106" s="359"/>
      <c r="D106" s="147">
        <v>1</v>
      </c>
      <c r="E106" s="147"/>
      <c r="F106" s="147">
        <v>1</v>
      </c>
      <c r="G106" s="137">
        <v>1</v>
      </c>
      <c r="H106" s="137"/>
      <c r="I106" s="137"/>
      <c r="J106" s="147">
        <v>1938</v>
      </c>
      <c r="K106" s="147">
        <v>366</v>
      </c>
      <c r="L106" s="217">
        <v>48.3</v>
      </c>
      <c r="M106" s="141"/>
    </row>
    <row r="107" spans="1:13" ht="15" customHeight="1">
      <c r="A107" s="357"/>
      <c r="B107" s="358"/>
      <c r="C107" s="359"/>
      <c r="D107" s="147">
        <v>1</v>
      </c>
      <c r="E107" s="147"/>
      <c r="F107" s="147">
        <v>1</v>
      </c>
      <c r="G107" s="137">
        <v>1</v>
      </c>
      <c r="H107" s="137"/>
      <c r="I107" s="137"/>
      <c r="J107" s="147">
        <v>1929</v>
      </c>
      <c r="K107" s="147">
        <v>366</v>
      </c>
      <c r="L107" s="217">
        <v>48.3</v>
      </c>
      <c r="M107" s="141"/>
    </row>
    <row r="108" spans="1:13" ht="15" customHeight="1">
      <c r="A108" s="357"/>
      <c r="B108" s="358"/>
      <c r="C108" s="359"/>
      <c r="D108" s="147">
        <v>1</v>
      </c>
      <c r="E108" s="147"/>
      <c r="F108" s="147">
        <v>1</v>
      </c>
      <c r="G108" s="137">
        <v>1</v>
      </c>
      <c r="H108" s="137"/>
      <c r="I108" s="137"/>
      <c r="J108" s="147">
        <v>1932</v>
      </c>
      <c r="K108" s="147">
        <v>47</v>
      </c>
      <c r="L108" s="217">
        <v>48.5</v>
      </c>
      <c r="M108" s="141"/>
    </row>
    <row r="109" spans="1:13" ht="15" customHeight="1">
      <c r="A109" s="357"/>
      <c r="B109" s="358"/>
      <c r="C109" s="359"/>
      <c r="D109" s="147">
        <v>1</v>
      </c>
      <c r="E109" s="147"/>
      <c r="F109" s="147">
        <v>1</v>
      </c>
      <c r="G109" s="137">
        <v>1</v>
      </c>
      <c r="H109" s="137"/>
      <c r="I109" s="137"/>
      <c r="J109" s="147">
        <v>1923</v>
      </c>
      <c r="K109" s="147">
        <v>366</v>
      </c>
      <c r="L109" s="217">
        <v>48.3</v>
      </c>
      <c r="M109" s="141"/>
    </row>
    <row r="110" spans="1:13" ht="15" customHeight="1">
      <c r="A110" s="357"/>
      <c r="B110" s="358"/>
      <c r="C110" s="359"/>
      <c r="D110" s="147">
        <v>1</v>
      </c>
      <c r="E110" s="147"/>
      <c r="F110" s="147">
        <v>1</v>
      </c>
      <c r="G110" s="137">
        <v>1</v>
      </c>
      <c r="H110" s="137"/>
      <c r="I110" s="137"/>
      <c r="J110" s="147">
        <v>1914</v>
      </c>
      <c r="K110" s="147">
        <v>163</v>
      </c>
      <c r="L110" s="217">
        <v>48.5</v>
      </c>
      <c r="M110" s="141"/>
    </row>
    <row r="111" spans="1:13" ht="15" customHeight="1">
      <c r="A111" s="357"/>
      <c r="B111" s="358"/>
      <c r="C111" s="359"/>
      <c r="D111" s="147">
        <v>1</v>
      </c>
      <c r="E111" s="147">
        <v>1</v>
      </c>
      <c r="F111" s="147"/>
      <c r="G111" s="137">
        <v>1</v>
      </c>
      <c r="H111" s="137"/>
      <c r="I111" s="137"/>
      <c r="J111" s="147">
        <v>1935</v>
      </c>
      <c r="K111" s="147">
        <v>366</v>
      </c>
      <c r="L111" s="217">
        <v>48.3</v>
      </c>
      <c r="M111" s="141"/>
    </row>
    <row r="112" spans="1:13" ht="15" customHeight="1">
      <c r="A112" s="357"/>
      <c r="B112" s="358"/>
      <c r="C112" s="359"/>
      <c r="D112" s="147">
        <v>1</v>
      </c>
      <c r="E112" s="147">
        <v>1</v>
      </c>
      <c r="F112" s="147"/>
      <c r="G112" s="137">
        <v>1</v>
      </c>
      <c r="H112" s="137"/>
      <c r="I112" s="137"/>
      <c r="J112" s="147">
        <v>1931</v>
      </c>
      <c r="K112" s="147">
        <v>366</v>
      </c>
      <c r="L112" s="217">
        <v>48.3</v>
      </c>
      <c r="M112" s="141"/>
    </row>
    <row r="113" spans="1:13" ht="15" customHeight="1">
      <c r="A113" s="357"/>
      <c r="B113" s="358"/>
      <c r="C113" s="359"/>
      <c r="D113" s="147">
        <v>1</v>
      </c>
      <c r="E113" s="147">
        <v>1</v>
      </c>
      <c r="F113" s="147"/>
      <c r="G113" s="137">
        <v>1</v>
      </c>
      <c r="H113" s="137"/>
      <c r="I113" s="137"/>
      <c r="J113" s="147">
        <v>1936</v>
      </c>
      <c r="K113" s="147">
        <v>366</v>
      </c>
      <c r="L113" s="217">
        <v>48.3</v>
      </c>
      <c r="M113" s="141"/>
    </row>
    <row r="114" spans="1:13" ht="15" customHeight="1">
      <c r="A114" s="357"/>
      <c r="B114" s="358"/>
      <c r="C114" s="359"/>
      <c r="D114" s="147">
        <v>1</v>
      </c>
      <c r="E114" s="147">
        <v>1</v>
      </c>
      <c r="F114" s="147"/>
      <c r="G114" s="137">
        <v>1</v>
      </c>
      <c r="H114" s="137"/>
      <c r="I114" s="137"/>
      <c r="J114" s="147">
        <v>1922</v>
      </c>
      <c r="K114" s="147">
        <v>25</v>
      </c>
      <c r="L114" s="217">
        <v>48.1</v>
      </c>
      <c r="M114" s="141"/>
    </row>
    <row r="115" spans="1:13" ht="15" customHeight="1">
      <c r="A115" s="357"/>
      <c r="B115" s="358"/>
      <c r="C115" s="359"/>
      <c r="D115" s="147">
        <v>1</v>
      </c>
      <c r="E115" s="147">
        <v>1</v>
      </c>
      <c r="F115" s="147"/>
      <c r="G115" s="137">
        <v>1</v>
      </c>
      <c r="H115" s="137"/>
      <c r="I115" s="137"/>
      <c r="J115" s="147">
        <v>1920</v>
      </c>
      <c r="K115" s="147">
        <v>366</v>
      </c>
      <c r="L115" s="217">
        <v>48.3</v>
      </c>
      <c r="M115" s="141"/>
    </row>
    <row r="116" spans="1:13" ht="15" customHeight="1">
      <c r="A116" s="357"/>
      <c r="B116" s="358"/>
      <c r="C116" s="359"/>
      <c r="D116" s="147">
        <v>1</v>
      </c>
      <c r="E116" s="147">
        <v>1</v>
      </c>
      <c r="F116" s="147"/>
      <c r="G116" s="137">
        <v>1</v>
      </c>
      <c r="H116" s="137"/>
      <c r="I116" s="137"/>
      <c r="J116" s="147">
        <v>1927</v>
      </c>
      <c r="K116" s="147">
        <v>366</v>
      </c>
      <c r="L116" s="217">
        <v>48.3</v>
      </c>
      <c r="M116" s="141"/>
    </row>
    <row r="117" spans="1:13" ht="15" customHeight="1">
      <c r="A117" s="357"/>
      <c r="B117" s="358"/>
      <c r="C117" s="359"/>
      <c r="D117" s="147">
        <v>1</v>
      </c>
      <c r="E117" s="147"/>
      <c r="F117" s="147">
        <v>1</v>
      </c>
      <c r="G117" s="137">
        <v>1</v>
      </c>
      <c r="H117" s="137"/>
      <c r="I117" s="137"/>
      <c r="J117" s="147">
        <v>1924</v>
      </c>
      <c r="K117" s="147">
        <v>366</v>
      </c>
      <c r="L117" s="217">
        <v>48.3</v>
      </c>
      <c r="M117" s="141"/>
    </row>
    <row r="118" spans="1:13" ht="15" customHeight="1">
      <c r="A118" s="357"/>
      <c r="B118" s="358"/>
      <c r="C118" s="359"/>
      <c r="D118" s="147">
        <v>1</v>
      </c>
      <c r="E118" s="147"/>
      <c r="F118" s="147">
        <v>1</v>
      </c>
      <c r="G118" s="137">
        <v>1</v>
      </c>
      <c r="H118" s="137"/>
      <c r="I118" s="137"/>
      <c r="J118" s="147">
        <v>1937</v>
      </c>
      <c r="K118" s="147">
        <v>51</v>
      </c>
      <c r="L118" s="217">
        <v>48.5</v>
      </c>
      <c r="M118" s="141"/>
    </row>
    <row r="119" spans="1:13" ht="15" customHeight="1">
      <c r="A119" s="357"/>
      <c r="B119" s="358"/>
      <c r="C119" s="359"/>
      <c r="D119" s="147">
        <v>1</v>
      </c>
      <c r="E119" s="147"/>
      <c r="F119" s="147">
        <v>1</v>
      </c>
      <c r="G119" s="137">
        <v>1</v>
      </c>
      <c r="H119" s="137"/>
      <c r="I119" s="137"/>
      <c r="J119" s="147">
        <v>1928</v>
      </c>
      <c r="K119" s="147">
        <v>366</v>
      </c>
      <c r="L119" s="217">
        <v>48.1</v>
      </c>
      <c r="M119" s="141"/>
    </row>
    <row r="120" spans="1:13" ht="15" customHeight="1">
      <c r="A120" s="308" t="s">
        <v>100</v>
      </c>
      <c r="B120" s="308"/>
      <c r="C120" s="84"/>
      <c r="D120" s="84">
        <f>SUM(D92:D119)</f>
        <v>28</v>
      </c>
      <c r="E120" s="84">
        <f>SUM(E92:E118)</f>
        <v>8</v>
      </c>
      <c r="F120" s="84">
        <f>SUM(F92:F118)</f>
        <v>19</v>
      </c>
      <c r="G120" s="143">
        <f>SUM(G92:G119)</f>
        <v>28</v>
      </c>
      <c r="H120" s="143">
        <v>0</v>
      </c>
      <c r="I120" s="143"/>
      <c r="J120" s="84"/>
      <c r="K120" s="84">
        <f>SUM(K92:K119)</f>
        <v>7914</v>
      </c>
      <c r="L120" s="84"/>
      <c r="M120" s="84"/>
    </row>
    <row r="121" spans="1:13" ht="15" customHeight="1">
      <c r="A121" s="309" t="s">
        <v>112</v>
      </c>
      <c r="B121" s="309"/>
      <c r="C121" s="72"/>
      <c r="D121" s="181">
        <f>D12+D40+D45+D63+D74+D85+D89+D120</f>
        <v>91</v>
      </c>
      <c r="E121" s="181">
        <f>E12+E40+E45+E63+E74+E85+E89+E120</f>
        <v>24</v>
      </c>
      <c r="F121" s="181">
        <f>F12+F40+F45+F63+F74+F85+F89+F120</f>
        <v>66</v>
      </c>
      <c r="G121" s="181">
        <f>G12+G40+G45+G63+G74+G85+G89+G120</f>
        <v>91</v>
      </c>
      <c r="H121" s="181">
        <v>0</v>
      </c>
      <c r="I121" s="181"/>
      <c r="J121" s="72"/>
      <c r="K121" s="181">
        <f>K12+K40+K45+K63+K74+K85+K89+K120</f>
        <v>26037</v>
      </c>
      <c r="L121" s="72"/>
      <c r="M121" s="183">
        <f>2449395.99-100-15720.65-109.39-115.34-184.45-219.65-61.97-13943.47-96.13</f>
        <v>2418844.94</v>
      </c>
    </row>
    <row r="122" spans="1:4" ht="18.75" customHeight="1">
      <c r="A122" s="192"/>
      <c r="B122" s="192"/>
      <c r="C122" s="70"/>
      <c r="D122" s="192"/>
    </row>
    <row r="123" spans="1:4" ht="18.75" customHeight="1">
      <c r="A123" s="192"/>
      <c r="B123" s="192"/>
      <c r="C123" s="70"/>
      <c r="D123" s="192"/>
    </row>
    <row r="124" spans="1:4" ht="18.75" customHeight="1">
      <c r="A124" s="192"/>
      <c r="B124" s="192"/>
      <c r="C124" s="70"/>
      <c r="D124" s="192"/>
    </row>
    <row r="125" spans="1:4" ht="18.75" customHeight="1">
      <c r="A125" s="192"/>
      <c r="B125" s="192"/>
      <c r="C125" s="70"/>
      <c r="D125" s="192"/>
    </row>
  </sheetData>
  <mergeCells count="21">
    <mergeCell ref="A1:M1"/>
    <mergeCell ref="A2:M2"/>
    <mergeCell ref="A3:B3"/>
    <mergeCell ref="A12:B12"/>
    <mergeCell ref="A13:B13"/>
    <mergeCell ref="A46:B46"/>
    <mergeCell ref="A75:B75"/>
    <mergeCell ref="A77:B77"/>
    <mergeCell ref="A63:B63"/>
    <mergeCell ref="A64:B64"/>
    <mergeCell ref="A74:B74"/>
    <mergeCell ref="A40:B40"/>
    <mergeCell ref="A41:B41"/>
    <mergeCell ref="A45:B45"/>
    <mergeCell ref="A121:B121"/>
    <mergeCell ref="A120:B120"/>
    <mergeCell ref="A78:B78"/>
    <mergeCell ref="A85:B85"/>
    <mergeCell ref="A86:B86"/>
    <mergeCell ref="A89:B89"/>
    <mergeCell ref="A90:B90"/>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codeName="Foglio14">
    <tabColor indexed="41"/>
  </sheetPr>
  <dimension ref="A1:M80"/>
  <sheetViews>
    <sheetView workbookViewId="0" topLeftCell="A49">
      <selection activeCell="A63" sqref="A63:C68"/>
    </sheetView>
  </sheetViews>
  <sheetFormatPr defaultColWidth="9.140625" defaultRowHeight="12.75"/>
  <cols>
    <col min="1" max="2" width="20.7109375" style="206" customWidth="1"/>
    <col min="3" max="3" width="20.7109375" style="69" customWidth="1"/>
    <col min="4" max="4" width="7.7109375" style="87" customWidth="1"/>
    <col min="5" max="6" width="5.7109375" style="69" customWidth="1"/>
    <col min="7" max="7" width="9.7109375" style="69" customWidth="1"/>
    <col min="8" max="8" width="9.7109375" style="87" customWidth="1"/>
    <col min="9" max="9" width="13.7109375" style="87" customWidth="1"/>
    <col min="10" max="10" width="10.140625" style="87" customWidth="1"/>
    <col min="11" max="11" width="15.7109375" style="207" customWidth="1"/>
    <col min="12" max="13" width="15.7109375" style="208" customWidth="1"/>
    <col min="14" max="16384" width="9.140625" style="87" customWidth="1"/>
  </cols>
  <sheetData>
    <row r="1" spans="1:13" ht="30" customHeight="1">
      <c r="A1" s="314" t="s">
        <v>67</v>
      </c>
      <c r="B1" s="315"/>
      <c r="C1" s="315"/>
      <c r="D1" s="315"/>
      <c r="E1" s="315"/>
      <c r="F1" s="315"/>
      <c r="G1" s="315"/>
      <c r="H1" s="315"/>
      <c r="I1" s="315"/>
      <c r="J1" s="315"/>
      <c r="K1" s="315"/>
      <c r="L1" s="315"/>
      <c r="M1" s="160">
        <v>40071162</v>
      </c>
    </row>
    <row r="2" spans="1:13" ht="39" customHeight="1">
      <c r="A2" s="377" t="s">
        <v>61</v>
      </c>
      <c r="B2" s="377"/>
      <c r="C2" s="377"/>
      <c r="D2" s="377"/>
      <c r="E2" s="377"/>
      <c r="F2" s="377"/>
      <c r="G2" s="377"/>
      <c r="H2" s="377"/>
      <c r="I2" s="377"/>
      <c r="J2" s="377"/>
      <c r="K2" s="377"/>
      <c r="L2" s="377"/>
      <c r="M2" s="377"/>
    </row>
    <row r="3" spans="1:13" s="194" customFormat="1" ht="15" customHeight="1">
      <c r="A3" s="399" t="s">
        <v>77</v>
      </c>
      <c r="B3" s="399"/>
      <c r="C3" s="191"/>
      <c r="D3" s="191"/>
      <c r="E3" s="191"/>
      <c r="F3" s="191"/>
      <c r="G3" s="191"/>
      <c r="H3" s="191"/>
      <c r="I3" s="191"/>
      <c r="J3" s="191"/>
      <c r="K3" s="193"/>
      <c r="L3" s="193"/>
      <c r="M3" s="193"/>
    </row>
    <row r="4" spans="1:13" s="187" customFormat="1" ht="30" customHeight="1">
      <c r="A4" s="51" t="s">
        <v>5</v>
      </c>
      <c r="B4" s="51" t="s">
        <v>1</v>
      </c>
      <c r="C4" s="51" t="s">
        <v>3</v>
      </c>
      <c r="D4" s="51" t="s">
        <v>120</v>
      </c>
      <c r="E4" s="52" t="s">
        <v>90</v>
      </c>
      <c r="F4" s="52" t="s">
        <v>91</v>
      </c>
      <c r="G4" s="52" t="s">
        <v>143</v>
      </c>
      <c r="H4" s="52" t="s">
        <v>144</v>
      </c>
      <c r="I4" s="52" t="s">
        <v>159</v>
      </c>
      <c r="J4" s="52" t="s">
        <v>119</v>
      </c>
      <c r="K4" s="52" t="s">
        <v>147</v>
      </c>
      <c r="L4" s="52" t="s">
        <v>34</v>
      </c>
      <c r="M4" s="186" t="s">
        <v>145</v>
      </c>
    </row>
    <row r="5" spans="1:13" s="196" customFormat="1" ht="15" customHeight="1">
      <c r="A5" s="358"/>
      <c r="B5" s="358"/>
      <c r="C5" s="327"/>
      <c r="D5" s="148">
        <v>1</v>
      </c>
      <c r="E5" s="148"/>
      <c r="F5" s="148">
        <v>1</v>
      </c>
      <c r="G5" s="148">
        <v>1</v>
      </c>
      <c r="H5" s="148"/>
      <c r="I5" s="148"/>
      <c r="J5" s="148">
        <v>1938</v>
      </c>
      <c r="K5" s="195">
        <v>350</v>
      </c>
      <c r="L5" s="195"/>
      <c r="M5" s="195"/>
    </row>
    <row r="6" spans="1:13" s="196" customFormat="1" ht="15" customHeight="1">
      <c r="A6" s="358"/>
      <c r="B6" s="358"/>
      <c r="C6" s="327"/>
      <c r="D6" s="148">
        <v>1</v>
      </c>
      <c r="E6" s="148"/>
      <c r="F6" s="148">
        <v>1</v>
      </c>
      <c r="G6" s="148">
        <v>1</v>
      </c>
      <c r="H6" s="148"/>
      <c r="I6" s="148"/>
      <c r="J6" s="148">
        <v>1922</v>
      </c>
      <c r="K6" s="195">
        <v>400</v>
      </c>
      <c r="L6" s="195"/>
      <c r="M6" s="195"/>
    </row>
    <row r="7" spans="1:13" s="196" customFormat="1" ht="15" customHeight="1">
      <c r="A7" s="358"/>
      <c r="B7" s="358"/>
      <c r="C7" s="327"/>
      <c r="D7" s="148">
        <v>1</v>
      </c>
      <c r="E7" s="148">
        <v>1</v>
      </c>
      <c r="F7" s="148">
        <v>1</v>
      </c>
      <c r="G7" s="148">
        <v>1</v>
      </c>
      <c r="H7" s="148"/>
      <c r="I7" s="148"/>
      <c r="J7" s="148">
        <v>1946</v>
      </c>
      <c r="K7" s="195">
        <v>750</v>
      </c>
      <c r="L7" s="195"/>
      <c r="M7" s="195"/>
    </row>
    <row r="8" spans="1:13" s="194" customFormat="1" ht="15" customHeight="1">
      <c r="A8" s="400" t="s">
        <v>93</v>
      </c>
      <c r="B8" s="400"/>
      <c r="C8" s="143"/>
      <c r="D8" s="143">
        <f>SUM(D4:D7)</f>
        <v>3</v>
      </c>
      <c r="E8" s="143">
        <f>SUM(E4:E7)</f>
        <v>1</v>
      </c>
      <c r="F8" s="143">
        <f>SUM(F5:F7)</f>
        <v>3</v>
      </c>
      <c r="G8" s="143">
        <f>SUM(G5:G7)</f>
        <v>3</v>
      </c>
      <c r="H8" s="143">
        <f>SUM(H5:H7)</f>
        <v>0</v>
      </c>
      <c r="I8" s="143"/>
      <c r="J8" s="143" t="s">
        <v>88</v>
      </c>
      <c r="K8" s="144">
        <f>SUM(K5:K7)</f>
        <v>1500</v>
      </c>
      <c r="L8" s="144">
        <f>SUM(L5:L7)</f>
        <v>0</v>
      </c>
      <c r="M8" s="144">
        <f>SUM(K8:L8)</f>
        <v>1500</v>
      </c>
    </row>
    <row r="9" spans="1:13" s="194" customFormat="1" ht="15" customHeight="1">
      <c r="A9" s="312" t="s">
        <v>78</v>
      </c>
      <c r="B9" s="312"/>
      <c r="C9" s="47"/>
      <c r="D9" s="52"/>
      <c r="E9" s="52"/>
      <c r="F9" s="52"/>
      <c r="G9" s="52"/>
      <c r="H9" s="52"/>
      <c r="I9" s="52"/>
      <c r="J9" s="52"/>
      <c r="K9" s="197"/>
      <c r="L9" s="198"/>
      <c r="M9" s="198"/>
    </row>
    <row r="10" spans="1:13" s="187" customFormat="1" ht="30" customHeight="1">
      <c r="A10" s="51" t="s">
        <v>5</v>
      </c>
      <c r="B10" s="51" t="s">
        <v>1</v>
      </c>
      <c r="C10" s="51" t="s">
        <v>3</v>
      </c>
      <c r="D10" s="51" t="s">
        <v>120</v>
      </c>
      <c r="E10" s="52" t="s">
        <v>90</v>
      </c>
      <c r="F10" s="52" t="s">
        <v>91</v>
      </c>
      <c r="G10" s="52" t="s">
        <v>143</v>
      </c>
      <c r="H10" s="52" t="s">
        <v>144</v>
      </c>
      <c r="I10" s="52" t="s">
        <v>159</v>
      </c>
      <c r="J10" s="52" t="s">
        <v>119</v>
      </c>
      <c r="K10" s="52" t="s">
        <v>147</v>
      </c>
      <c r="L10" s="52" t="s">
        <v>34</v>
      </c>
      <c r="M10" s="186" t="s">
        <v>145</v>
      </c>
    </row>
    <row r="11" spans="1:13" s="56" customFormat="1" ht="15" customHeight="1">
      <c r="A11" s="358"/>
      <c r="B11" s="358"/>
      <c r="C11" s="327"/>
      <c r="D11" s="148">
        <v>1</v>
      </c>
      <c r="E11" s="96"/>
      <c r="F11" s="148">
        <v>1</v>
      </c>
      <c r="G11" s="148">
        <v>1</v>
      </c>
      <c r="H11" s="148"/>
      <c r="I11" s="148"/>
      <c r="J11" s="148">
        <v>1934</v>
      </c>
      <c r="K11" s="195"/>
      <c r="L11" s="195">
        <v>635.46</v>
      </c>
      <c r="M11" s="199"/>
    </row>
    <row r="12" spans="1:13" s="56" customFormat="1" ht="15" customHeight="1">
      <c r="A12" s="358"/>
      <c r="B12" s="358"/>
      <c r="C12" s="327"/>
      <c r="D12" s="148">
        <v>1</v>
      </c>
      <c r="E12" s="96"/>
      <c r="F12" s="96">
        <v>1</v>
      </c>
      <c r="G12" s="148">
        <v>1</v>
      </c>
      <c r="H12" s="148"/>
      <c r="I12" s="148"/>
      <c r="J12" s="148">
        <v>1940</v>
      </c>
      <c r="K12" s="195">
        <v>150</v>
      </c>
      <c r="L12" s="195"/>
      <c r="M12" s="195"/>
    </row>
    <row r="13" spans="1:13" s="56" customFormat="1" ht="15" customHeight="1">
      <c r="A13" s="358"/>
      <c r="B13" s="358"/>
      <c r="C13" s="327"/>
      <c r="D13" s="148">
        <v>1</v>
      </c>
      <c r="E13" s="96"/>
      <c r="F13" s="96">
        <v>1</v>
      </c>
      <c r="G13" s="148">
        <v>1</v>
      </c>
      <c r="H13" s="148"/>
      <c r="I13" s="148"/>
      <c r="J13" s="148">
        <v>1932</v>
      </c>
      <c r="K13" s="195">
        <v>3179</v>
      </c>
      <c r="L13" s="195"/>
      <c r="M13" s="195"/>
    </row>
    <row r="14" spans="1:13" s="56" customFormat="1" ht="15" customHeight="1">
      <c r="A14" s="358"/>
      <c r="B14" s="358"/>
      <c r="C14" s="327"/>
      <c r="D14" s="148">
        <v>1</v>
      </c>
      <c r="E14" s="96"/>
      <c r="F14" s="96">
        <v>1</v>
      </c>
      <c r="G14" s="148">
        <v>1</v>
      </c>
      <c r="H14" s="141"/>
      <c r="I14" s="148"/>
      <c r="J14" s="148">
        <v>1924</v>
      </c>
      <c r="K14" s="195">
        <v>3049.18</v>
      </c>
      <c r="L14" s="195"/>
      <c r="M14" s="195"/>
    </row>
    <row r="15" spans="1:13" s="56" customFormat="1" ht="15" customHeight="1">
      <c r="A15" s="358"/>
      <c r="B15" s="358"/>
      <c r="C15" s="327"/>
      <c r="D15" s="148">
        <v>1</v>
      </c>
      <c r="E15" s="96"/>
      <c r="F15" s="96">
        <v>1</v>
      </c>
      <c r="G15" s="148">
        <v>1</v>
      </c>
      <c r="H15" s="148"/>
      <c r="I15" s="148"/>
      <c r="J15" s="148">
        <v>1932</v>
      </c>
      <c r="K15" s="195">
        <v>1000</v>
      </c>
      <c r="L15" s="195"/>
      <c r="M15" s="195"/>
    </row>
    <row r="16" spans="1:13" s="56" customFormat="1" ht="15" customHeight="1">
      <c r="A16" s="358"/>
      <c r="B16" s="358"/>
      <c r="C16" s="327"/>
      <c r="D16" s="148">
        <v>1</v>
      </c>
      <c r="E16" s="96"/>
      <c r="F16" s="96">
        <v>1</v>
      </c>
      <c r="G16" s="148">
        <v>1</v>
      </c>
      <c r="H16" s="148"/>
      <c r="I16" s="148"/>
      <c r="J16" s="148">
        <v>1931</v>
      </c>
      <c r="K16" s="195">
        <v>4950</v>
      </c>
      <c r="L16" s="195"/>
      <c r="M16" s="195"/>
    </row>
    <row r="17" spans="1:13" s="56" customFormat="1" ht="15" customHeight="1">
      <c r="A17" s="358"/>
      <c r="B17" s="358"/>
      <c r="C17" s="327"/>
      <c r="D17" s="148">
        <v>1</v>
      </c>
      <c r="E17" s="96"/>
      <c r="F17" s="96">
        <v>1</v>
      </c>
      <c r="G17" s="148">
        <v>1</v>
      </c>
      <c r="H17" s="148"/>
      <c r="I17" s="148"/>
      <c r="J17" s="148">
        <v>1946</v>
      </c>
      <c r="K17" s="195">
        <v>900</v>
      </c>
      <c r="L17" s="195"/>
      <c r="M17" s="195"/>
    </row>
    <row r="18" spans="1:13" s="56" customFormat="1" ht="15" customHeight="1">
      <c r="A18" s="358"/>
      <c r="B18" s="358"/>
      <c r="C18" s="327"/>
      <c r="D18" s="148">
        <v>1</v>
      </c>
      <c r="E18" s="96">
        <v>1</v>
      </c>
      <c r="F18" s="96"/>
      <c r="G18" s="148">
        <v>1</v>
      </c>
      <c r="H18" s="148"/>
      <c r="I18" s="148"/>
      <c r="J18" s="148">
        <v>1943</v>
      </c>
      <c r="K18" s="195">
        <v>500</v>
      </c>
      <c r="L18" s="195"/>
      <c r="M18" s="195"/>
    </row>
    <row r="19" spans="1:13" s="56" customFormat="1" ht="15" customHeight="1">
      <c r="A19" s="358"/>
      <c r="B19" s="358"/>
      <c r="C19" s="327"/>
      <c r="D19" s="148">
        <v>1</v>
      </c>
      <c r="E19" s="96"/>
      <c r="F19" s="96">
        <v>1</v>
      </c>
      <c r="G19" s="148">
        <v>1</v>
      </c>
      <c r="H19" s="148"/>
      <c r="I19" s="148"/>
      <c r="J19" s="148">
        <v>1928</v>
      </c>
      <c r="K19" s="195">
        <v>4200</v>
      </c>
      <c r="L19" s="195"/>
      <c r="M19" s="195"/>
    </row>
    <row r="20" spans="1:13" s="56" customFormat="1" ht="15" customHeight="1">
      <c r="A20" s="358"/>
      <c r="B20" s="358"/>
      <c r="C20" s="327"/>
      <c r="D20" s="148">
        <v>1</v>
      </c>
      <c r="E20" s="96"/>
      <c r="F20" s="96">
        <v>1</v>
      </c>
      <c r="G20" s="148">
        <v>1</v>
      </c>
      <c r="H20" s="148"/>
      <c r="I20" s="148"/>
      <c r="J20" s="148">
        <v>1934</v>
      </c>
      <c r="K20" s="195">
        <v>1300</v>
      </c>
      <c r="L20" s="195"/>
      <c r="M20" s="195"/>
    </row>
    <row r="21" spans="1:13" s="56" customFormat="1" ht="15" customHeight="1">
      <c r="A21" s="358"/>
      <c r="B21" s="358"/>
      <c r="C21" s="327"/>
      <c r="D21" s="148">
        <v>1</v>
      </c>
      <c r="E21" s="96"/>
      <c r="F21" s="96">
        <v>1</v>
      </c>
      <c r="G21" s="148">
        <v>1</v>
      </c>
      <c r="H21" s="148"/>
      <c r="I21" s="148"/>
      <c r="J21" s="148">
        <v>1940</v>
      </c>
      <c r="K21" s="195">
        <v>3300</v>
      </c>
      <c r="L21" s="195"/>
      <c r="M21" s="195"/>
    </row>
    <row r="22" spans="1:13" s="56" customFormat="1" ht="15" customHeight="1">
      <c r="A22" s="358"/>
      <c r="B22" s="358"/>
      <c r="C22" s="327"/>
      <c r="D22" s="148">
        <v>1</v>
      </c>
      <c r="E22" s="96"/>
      <c r="F22" s="96">
        <v>1</v>
      </c>
      <c r="G22" s="148">
        <v>1</v>
      </c>
      <c r="H22" s="148"/>
      <c r="I22" s="148"/>
      <c r="J22" s="148">
        <v>1946</v>
      </c>
      <c r="K22" s="195">
        <v>2500</v>
      </c>
      <c r="L22" s="195"/>
      <c r="M22" s="195"/>
    </row>
    <row r="23" spans="1:13" s="56" customFormat="1" ht="15" customHeight="1">
      <c r="A23" s="358"/>
      <c r="B23" s="358"/>
      <c r="C23" s="327"/>
      <c r="D23" s="148">
        <v>1</v>
      </c>
      <c r="E23" s="96">
        <v>1</v>
      </c>
      <c r="F23" s="96"/>
      <c r="G23" s="148">
        <v>1</v>
      </c>
      <c r="H23" s="148"/>
      <c r="I23" s="148"/>
      <c r="J23" s="148">
        <v>1924</v>
      </c>
      <c r="K23" s="195">
        <v>300</v>
      </c>
      <c r="L23" s="195"/>
      <c r="M23" s="195"/>
    </row>
    <row r="24" spans="1:13" s="56" customFormat="1" ht="15" customHeight="1">
      <c r="A24" s="358"/>
      <c r="B24" s="358"/>
      <c r="C24" s="327"/>
      <c r="D24" s="148">
        <v>1</v>
      </c>
      <c r="E24" s="96">
        <v>1</v>
      </c>
      <c r="F24" s="96"/>
      <c r="G24" s="148"/>
      <c r="H24" s="148">
        <v>1</v>
      </c>
      <c r="I24" s="200" t="s">
        <v>9</v>
      </c>
      <c r="J24" s="148">
        <v>1946</v>
      </c>
      <c r="K24" s="195">
        <v>72</v>
      </c>
      <c r="L24" s="141"/>
      <c r="M24" s="141"/>
    </row>
    <row r="25" spans="1:13" s="56" customFormat="1" ht="15" customHeight="1">
      <c r="A25" s="358"/>
      <c r="B25" s="358"/>
      <c r="C25" s="327"/>
      <c r="D25" s="148">
        <v>1</v>
      </c>
      <c r="E25" s="96">
        <v>1</v>
      </c>
      <c r="F25" s="96"/>
      <c r="G25" s="148">
        <v>1</v>
      </c>
      <c r="H25" s="148"/>
      <c r="I25" s="148"/>
      <c r="J25" s="148">
        <v>1924</v>
      </c>
      <c r="K25" s="195">
        <v>300</v>
      </c>
      <c r="L25" s="195"/>
      <c r="M25" s="195"/>
    </row>
    <row r="26" spans="1:13" s="56" customFormat="1" ht="15" customHeight="1">
      <c r="A26" s="358"/>
      <c r="B26" s="358"/>
      <c r="C26" s="327"/>
      <c r="D26" s="148">
        <v>1</v>
      </c>
      <c r="E26" s="148">
        <v>1</v>
      </c>
      <c r="F26" s="148"/>
      <c r="G26" s="148">
        <v>1</v>
      </c>
      <c r="H26" s="148"/>
      <c r="I26" s="148"/>
      <c r="J26" s="148">
        <v>1947</v>
      </c>
      <c r="K26" s="195">
        <v>1300</v>
      </c>
      <c r="L26" s="195"/>
      <c r="M26" s="195"/>
    </row>
    <row r="27" spans="1:13" s="56" customFormat="1" ht="15" customHeight="1">
      <c r="A27" s="358"/>
      <c r="B27" s="358"/>
      <c r="C27" s="327"/>
      <c r="D27" s="148">
        <v>1</v>
      </c>
      <c r="E27" s="148"/>
      <c r="F27" s="148">
        <v>1</v>
      </c>
      <c r="G27" s="148">
        <v>1</v>
      </c>
      <c r="H27" s="148"/>
      <c r="I27" s="148"/>
      <c r="J27" s="148">
        <v>1945</v>
      </c>
      <c r="K27" s="195">
        <v>240</v>
      </c>
      <c r="L27" s="195"/>
      <c r="M27" s="195"/>
    </row>
    <row r="28" spans="1:13" s="56" customFormat="1" ht="15" customHeight="1">
      <c r="A28" s="358"/>
      <c r="B28" s="358"/>
      <c r="C28" s="327"/>
      <c r="D28" s="148">
        <v>1</v>
      </c>
      <c r="E28" s="148"/>
      <c r="F28" s="148">
        <v>1</v>
      </c>
      <c r="G28" s="148">
        <v>1</v>
      </c>
      <c r="H28" s="148"/>
      <c r="I28" s="148"/>
      <c r="J28" s="148">
        <v>1925</v>
      </c>
      <c r="K28" s="195">
        <v>100</v>
      </c>
      <c r="L28" s="195"/>
      <c r="M28" s="195"/>
    </row>
    <row r="29" spans="1:13" s="56" customFormat="1" ht="15" customHeight="1">
      <c r="A29" s="358"/>
      <c r="B29" s="358"/>
      <c r="C29" s="327"/>
      <c r="D29" s="148">
        <v>1</v>
      </c>
      <c r="E29" s="148"/>
      <c r="F29" s="148">
        <v>1</v>
      </c>
      <c r="G29" s="148">
        <v>1</v>
      </c>
      <c r="H29" s="148"/>
      <c r="I29" s="148"/>
      <c r="J29" s="148">
        <v>1935</v>
      </c>
      <c r="K29" s="195">
        <v>1100</v>
      </c>
      <c r="L29" s="195"/>
      <c r="M29" s="195"/>
    </row>
    <row r="30" spans="1:13" s="56" customFormat="1" ht="15" customHeight="1">
      <c r="A30" s="358"/>
      <c r="B30" s="358"/>
      <c r="C30" s="327"/>
      <c r="D30" s="148">
        <v>1</v>
      </c>
      <c r="E30" s="148"/>
      <c r="F30" s="148">
        <v>1</v>
      </c>
      <c r="G30" s="148">
        <v>1</v>
      </c>
      <c r="H30" s="148"/>
      <c r="I30" s="148"/>
      <c r="J30" s="148">
        <v>1928</v>
      </c>
      <c r="K30" s="195">
        <v>750</v>
      </c>
      <c r="L30" s="195"/>
      <c r="M30" s="195"/>
    </row>
    <row r="31" spans="1:13" s="56" customFormat="1" ht="15" customHeight="1">
      <c r="A31" s="358"/>
      <c r="B31" s="358"/>
      <c r="C31" s="327"/>
      <c r="D31" s="148">
        <v>1</v>
      </c>
      <c r="E31" s="148">
        <v>1</v>
      </c>
      <c r="F31" s="148"/>
      <c r="G31" s="148">
        <v>1</v>
      </c>
      <c r="H31" s="148"/>
      <c r="I31" s="148"/>
      <c r="J31" s="148">
        <v>1926</v>
      </c>
      <c r="K31" s="195"/>
      <c r="L31" s="195"/>
      <c r="M31" s="195"/>
    </row>
    <row r="32" spans="1:13" s="56" customFormat="1" ht="15" customHeight="1">
      <c r="A32" s="358"/>
      <c r="B32" s="358"/>
      <c r="C32" s="327"/>
      <c r="D32" s="148">
        <v>1</v>
      </c>
      <c r="E32" s="148"/>
      <c r="F32" s="148">
        <v>1</v>
      </c>
      <c r="G32" s="148">
        <v>1</v>
      </c>
      <c r="H32" s="148"/>
      <c r="I32" s="148"/>
      <c r="J32" s="148">
        <v>1927</v>
      </c>
      <c r="K32" s="195">
        <v>490</v>
      </c>
      <c r="L32" s="195"/>
      <c r="M32" s="195"/>
    </row>
    <row r="33" spans="1:13" s="56" customFormat="1" ht="15" customHeight="1">
      <c r="A33" s="358"/>
      <c r="B33" s="358"/>
      <c r="C33" s="327"/>
      <c r="D33" s="148">
        <v>1</v>
      </c>
      <c r="E33" s="96"/>
      <c r="F33" s="148">
        <v>1</v>
      </c>
      <c r="G33" s="148">
        <v>1</v>
      </c>
      <c r="H33" s="148"/>
      <c r="I33" s="148"/>
      <c r="J33" s="148">
        <v>1927</v>
      </c>
      <c r="K33" s="195">
        <v>250</v>
      </c>
      <c r="L33" s="195"/>
      <c r="M33" s="195"/>
    </row>
    <row r="34" spans="1:13" s="56" customFormat="1" ht="15" customHeight="1">
      <c r="A34" s="358"/>
      <c r="B34" s="358"/>
      <c r="C34" s="327"/>
      <c r="D34" s="148">
        <v>1</v>
      </c>
      <c r="E34" s="148">
        <v>1</v>
      </c>
      <c r="F34" s="148"/>
      <c r="G34" s="148">
        <v>1</v>
      </c>
      <c r="H34" s="148"/>
      <c r="I34" s="148"/>
      <c r="J34" s="148">
        <v>1928</v>
      </c>
      <c r="K34" s="195"/>
      <c r="L34" s="195">
        <v>300</v>
      </c>
      <c r="M34" s="195"/>
    </row>
    <row r="35" spans="1:13" s="56" customFormat="1" ht="15" customHeight="1">
      <c r="A35" s="358"/>
      <c r="B35" s="358"/>
      <c r="C35" s="327"/>
      <c r="D35" s="148">
        <v>1</v>
      </c>
      <c r="E35" s="148">
        <v>1</v>
      </c>
      <c r="F35" s="148"/>
      <c r="G35" s="148">
        <v>1</v>
      </c>
      <c r="H35" s="148"/>
      <c r="I35" s="148"/>
      <c r="J35" s="148">
        <v>1943</v>
      </c>
      <c r="K35" s="195">
        <v>100</v>
      </c>
      <c r="L35" s="195"/>
      <c r="M35" s="195"/>
    </row>
    <row r="36" spans="1:13" s="56" customFormat="1" ht="15" customHeight="1">
      <c r="A36" s="358"/>
      <c r="B36" s="358"/>
      <c r="C36" s="327"/>
      <c r="D36" s="148">
        <v>1</v>
      </c>
      <c r="E36" s="148"/>
      <c r="F36" s="148">
        <v>1</v>
      </c>
      <c r="G36" s="148"/>
      <c r="H36" s="148">
        <v>1</v>
      </c>
      <c r="I36" s="148" t="s">
        <v>4</v>
      </c>
      <c r="J36" s="148">
        <v>1931</v>
      </c>
      <c r="K36" s="195">
        <v>245.98</v>
      </c>
      <c r="L36" s="195"/>
      <c r="M36" s="195"/>
    </row>
    <row r="37" spans="1:13" s="56" customFormat="1" ht="15" customHeight="1">
      <c r="A37" s="358"/>
      <c r="B37" s="358"/>
      <c r="C37" s="327"/>
      <c r="D37" s="148">
        <v>1</v>
      </c>
      <c r="E37" s="148"/>
      <c r="F37" s="148">
        <v>1</v>
      </c>
      <c r="G37" s="148">
        <v>1</v>
      </c>
      <c r="H37" s="148"/>
      <c r="I37" s="148"/>
      <c r="J37" s="148">
        <v>1935</v>
      </c>
      <c r="K37" s="195">
        <v>600</v>
      </c>
      <c r="L37" s="195"/>
      <c r="M37" s="195"/>
    </row>
    <row r="38" spans="1:13" s="56" customFormat="1" ht="15" customHeight="1">
      <c r="A38" s="358"/>
      <c r="B38" s="358"/>
      <c r="C38" s="327"/>
      <c r="D38" s="148">
        <v>1</v>
      </c>
      <c r="E38" s="148"/>
      <c r="F38" s="148">
        <v>1</v>
      </c>
      <c r="G38" s="148">
        <v>1</v>
      </c>
      <c r="H38" s="148"/>
      <c r="I38" s="148"/>
      <c r="J38" s="148">
        <v>1937</v>
      </c>
      <c r="K38" s="195">
        <v>833.85</v>
      </c>
      <c r="L38" s="195"/>
      <c r="M38" s="195"/>
    </row>
    <row r="39" spans="1:13" ht="15" customHeight="1">
      <c r="A39" s="400" t="s">
        <v>94</v>
      </c>
      <c r="B39" s="400"/>
      <c r="C39" s="143"/>
      <c r="D39" s="143">
        <f>SUM(D11:D38)</f>
        <v>28</v>
      </c>
      <c r="E39" s="143">
        <f>SUM(E11:E38)</f>
        <v>8</v>
      </c>
      <c r="F39" s="143">
        <f>SUM(F11:F38)</f>
        <v>20</v>
      </c>
      <c r="G39" s="143">
        <f>SUM(G11:G38)</f>
        <v>26</v>
      </c>
      <c r="H39" s="143">
        <f>SUM(H11:H38)</f>
        <v>2</v>
      </c>
      <c r="I39" s="143"/>
      <c r="J39" s="143"/>
      <c r="K39" s="144">
        <f>SUM(K11:K38)</f>
        <v>31710.01</v>
      </c>
      <c r="L39" s="144">
        <f>SUM(L11:L38)</f>
        <v>935.46</v>
      </c>
      <c r="M39" s="144">
        <f>SUM(K39:L39)</f>
        <v>32645.469999999998</v>
      </c>
    </row>
    <row r="40" spans="1:13" ht="15" customHeight="1">
      <c r="A40" s="399" t="s">
        <v>79</v>
      </c>
      <c r="B40" s="399"/>
      <c r="C40" s="191"/>
      <c r="D40" s="191"/>
      <c r="E40" s="191"/>
      <c r="F40" s="191"/>
      <c r="G40" s="191"/>
      <c r="H40" s="191"/>
      <c r="I40" s="191"/>
      <c r="J40" s="191"/>
      <c r="K40" s="193"/>
      <c r="L40" s="193"/>
      <c r="M40" s="193"/>
    </row>
    <row r="41" spans="1:13" s="187" customFormat="1" ht="30" customHeight="1">
      <c r="A41" s="51" t="s">
        <v>5</v>
      </c>
      <c r="B41" s="51" t="s">
        <v>1</v>
      </c>
      <c r="C41" s="51" t="s">
        <v>3</v>
      </c>
      <c r="D41" s="51" t="s">
        <v>120</v>
      </c>
      <c r="E41" s="52" t="s">
        <v>90</v>
      </c>
      <c r="F41" s="52" t="s">
        <v>91</v>
      </c>
      <c r="G41" s="52" t="s">
        <v>143</v>
      </c>
      <c r="H41" s="52" t="s">
        <v>144</v>
      </c>
      <c r="I41" s="52" t="s">
        <v>159</v>
      </c>
      <c r="J41" s="52" t="s">
        <v>119</v>
      </c>
      <c r="K41" s="52" t="s">
        <v>147</v>
      </c>
      <c r="L41" s="52" t="s">
        <v>34</v>
      </c>
      <c r="M41" s="186" t="s">
        <v>145</v>
      </c>
    </row>
    <row r="42" spans="1:13" ht="15" customHeight="1">
      <c r="A42" s="400" t="s">
        <v>95</v>
      </c>
      <c r="B42" s="400"/>
      <c r="C42" s="143"/>
      <c r="D42" s="143">
        <v>0</v>
      </c>
      <c r="E42" s="143">
        <v>0</v>
      </c>
      <c r="F42" s="143">
        <v>0</v>
      </c>
      <c r="G42" s="143">
        <v>0</v>
      </c>
      <c r="H42" s="143">
        <v>0</v>
      </c>
      <c r="I42" s="143"/>
      <c r="J42" s="143" t="s">
        <v>88</v>
      </c>
      <c r="K42" s="144">
        <v>0</v>
      </c>
      <c r="L42" s="144">
        <v>0</v>
      </c>
      <c r="M42" s="144">
        <v>0</v>
      </c>
    </row>
    <row r="43" spans="1:13" ht="15" customHeight="1">
      <c r="A43" s="399" t="s">
        <v>80</v>
      </c>
      <c r="B43" s="399"/>
      <c r="C43" s="191"/>
      <c r="D43" s="189"/>
      <c r="E43" s="189"/>
      <c r="F43" s="189"/>
      <c r="G43" s="189"/>
      <c r="H43" s="189"/>
      <c r="I43" s="189"/>
      <c r="J43" s="189"/>
      <c r="K43" s="201"/>
      <c r="L43" s="201"/>
      <c r="M43" s="201"/>
    </row>
    <row r="44" spans="1:13" s="187" customFormat="1" ht="30" customHeight="1">
      <c r="A44" s="51" t="s">
        <v>5</v>
      </c>
      <c r="B44" s="51" t="s">
        <v>1</v>
      </c>
      <c r="C44" s="51" t="s">
        <v>3</v>
      </c>
      <c r="D44" s="51" t="s">
        <v>120</v>
      </c>
      <c r="E44" s="52" t="s">
        <v>90</v>
      </c>
      <c r="F44" s="52" t="s">
        <v>91</v>
      </c>
      <c r="G44" s="52" t="s">
        <v>143</v>
      </c>
      <c r="H44" s="52" t="s">
        <v>144</v>
      </c>
      <c r="I44" s="52" t="s">
        <v>159</v>
      </c>
      <c r="J44" s="52" t="s">
        <v>119</v>
      </c>
      <c r="K44" s="52" t="s">
        <v>147</v>
      </c>
      <c r="L44" s="52" t="s">
        <v>34</v>
      </c>
      <c r="M44" s="186" t="s">
        <v>145</v>
      </c>
    </row>
    <row r="45" spans="1:13" s="203" customFormat="1" ht="15" customHeight="1">
      <c r="A45" s="358"/>
      <c r="B45" s="358"/>
      <c r="C45" s="327"/>
      <c r="D45" s="148">
        <v>1</v>
      </c>
      <c r="E45" s="148">
        <v>1</v>
      </c>
      <c r="F45" s="148"/>
      <c r="G45" s="148">
        <v>1</v>
      </c>
      <c r="H45" s="148"/>
      <c r="I45" s="148"/>
      <c r="J45" s="148">
        <v>1938</v>
      </c>
      <c r="K45" s="195">
        <v>200</v>
      </c>
      <c r="L45" s="202"/>
      <c r="M45" s="202"/>
    </row>
    <row r="46" spans="1:13" s="56" customFormat="1" ht="15" customHeight="1">
      <c r="A46" s="358"/>
      <c r="B46" s="358"/>
      <c r="C46" s="327"/>
      <c r="D46" s="148">
        <v>1</v>
      </c>
      <c r="E46" s="148">
        <v>1</v>
      </c>
      <c r="F46" s="148"/>
      <c r="G46" s="148">
        <v>1</v>
      </c>
      <c r="H46" s="148"/>
      <c r="I46" s="148"/>
      <c r="J46" s="148">
        <v>1946</v>
      </c>
      <c r="K46" s="195">
        <v>2050</v>
      </c>
      <c r="L46" s="195"/>
      <c r="M46" s="195"/>
    </row>
    <row r="47" spans="1:13" ht="15" customHeight="1">
      <c r="A47" s="400" t="s">
        <v>96</v>
      </c>
      <c r="B47" s="400"/>
      <c r="C47" s="143"/>
      <c r="D47" s="143">
        <f>SUM(D45:D46)</f>
        <v>2</v>
      </c>
      <c r="E47" s="143">
        <f>SUM(E45:E46)</f>
        <v>2</v>
      </c>
      <c r="F47" s="143">
        <f>SUM(F45:F46)</f>
        <v>0</v>
      </c>
      <c r="G47" s="143">
        <f>SUM(G45:G46)</f>
        <v>2</v>
      </c>
      <c r="H47" s="143">
        <v>0</v>
      </c>
      <c r="I47" s="143"/>
      <c r="J47" s="143"/>
      <c r="K47" s="144">
        <f>SUM(K45:K46)</f>
        <v>2250</v>
      </c>
      <c r="L47" s="144">
        <f>SUM(L45:L45)</f>
        <v>0</v>
      </c>
      <c r="M47" s="144">
        <f>SUM(K47:L47)</f>
        <v>2250</v>
      </c>
    </row>
    <row r="48" spans="1:13" ht="15" customHeight="1">
      <c r="A48" s="399" t="s">
        <v>81</v>
      </c>
      <c r="B48" s="399"/>
      <c r="C48" s="191"/>
      <c r="D48" s="191"/>
      <c r="E48" s="191"/>
      <c r="F48" s="191"/>
      <c r="G48" s="191"/>
      <c r="H48" s="191"/>
      <c r="I48" s="191"/>
      <c r="J48" s="191"/>
      <c r="K48" s="193"/>
      <c r="L48" s="193"/>
      <c r="M48" s="193"/>
    </row>
    <row r="49" spans="1:13" s="187" customFormat="1" ht="30" customHeight="1">
      <c r="A49" s="51" t="s">
        <v>5</v>
      </c>
      <c r="B49" s="51" t="s">
        <v>1</v>
      </c>
      <c r="C49" s="51" t="s">
        <v>3</v>
      </c>
      <c r="D49" s="51" t="s">
        <v>120</v>
      </c>
      <c r="E49" s="52" t="s">
        <v>90</v>
      </c>
      <c r="F49" s="52" t="s">
        <v>91</v>
      </c>
      <c r="G49" s="52" t="s">
        <v>143</v>
      </c>
      <c r="H49" s="52" t="s">
        <v>144</v>
      </c>
      <c r="I49" s="52" t="s">
        <v>159</v>
      </c>
      <c r="J49" s="52" t="s">
        <v>119</v>
      </c>
      <c r="K49" s="52" t="s">
        <v>147</v>
      </c>
      <c r="L49" s="52" t="s">
        <v>34</v>
      </c>
      <c r="M49" s="186" t="s">
        <v>145</v>
      </c>
    </row>
    <row r="50" spans="1:13" ht="15" customHeight="1">
      <c r="A50" s="400" t="s">
        <v>97</v>
      </c>
      <c r="B50" s="400"/>
      <c r="C50" s="143"/>
      <c r="D50" s="143">
        <v>0</v>
      </c>
      <c r="E50" s="143">
        <v>0</v>
      </c>
      <c r="F50" s="143">
        <v>0</v>
      </c>
      <c r="G50" s="143">
        <v>0</v>
      </c>
      <c r="H50" s="143">
        <v>0</v>
      </c>
      <c r="I50" s="143"/>
      <c r="J50" s="143" t="s">
        <v>88</v>
      </c>
      <c r="K50" s="144">
        <v>0</v>
      </c>
      <c r="L50" s="144">
        <v>0</v>
      </c>
      <c r="M50" s="144">
        <v>0</v>
      </c>
    </row>
    <row r="51" spans="1:13" ht="15" customHeight="1">
      <c r="A51" s="399" t="s">
        <v>82</v>
      </c>
      <c r="B51" s="399"/>
      <c r="C51" s="191"/>
      <c r="D51" s="191"/>
      <c r="E51" s="191"/>
      <c r="F51" s="191"/>
      <c r="G51" s="191"/>
      <c r="H51" s="191"/>
      <c r="I51" s="191"/>
      <c r="J51" s="191"/>
      <c r="K51" s="193"/>
      <c r="L51" s="193"/>
      <c r="M51" s="193"/>
    </row>
    <row r="52" spans="1:13" s="187" customFormat="1" ht="30" customHeight="1">
      <c r="A52" s="51" t="s">
        <v>5</v>
      </c>
      <c r="B52" s="51" t="s">
        <v>1</v>
      </c>
      <c r="C52" s="51" t="s">
        <v>3</v>
      </c>
      <c r="D52" s="51" t="s">
        <v>120</v>
      </c>
      <c r="E52" s="52" t="s">
        <v>90</v>
      </c>
      <c r="F52" s="52" t="s">
        <v>91</v>
      </c>
      <c r="G52" s="52" t="s">
        <v>143</v>
      </c>
      <c r="H52" s="52" t="s">
        <v>144</v>
      </c>
      <c r="I52" s="52" t="s">
        <v>159</v>
      </c>
      <c r="J52" s="52" t="s">
        <v>119</v>
      </c>
      <c r="K52" s="52" t="s">
        <v>147</v>
      </c>
      <c r="L52" s="52" t="s">
        <v>34</v>
      </c>
      <c r="M52" s="186" t="s">
        <v>145</v>
      </c>
    </row>
    <row r="53" spans="1:13" ht="15" customHeight="1">
      <c r="A53" s="400" t="s">
        <v>146</v>
      </c>
      <c r="B53" s="400"/>
      <c r="C53" s="143"/>
      <c r="D53" s="143">
        <v>0</v>
      </c>
      <c r="E53" s="143">
        <v>0</v>
      </c>
      <c r="F53" s="143">
        <v>0</v>
      </c>
      <c r="G53" s="143">
        <v>0</v>
      </c>
      <c r="H53" s="143">
        <v>0</v>
      </c>
      <c r="I53" s="143"/>
      <c r="J53" s="143" t="s">
        <v>88</v>
      </c>
      <c r="K53" s="144">
        <v>0</v>
      </c>
      <c r="L53" s="144">
        <v>0</v>
      </c>
      <c r="M53" s="144">
        <v>0</v>
      </c>
    </row>
    <row r="54" spans="1:13" ht="15" customHeight="1">
      <c r="A54" s="399" t="s">
        <v>83</v>
      </c>
      <c r="B54" s="399"/>
      <c r="C54" s="191"/>
      <c r="D54" s="191"/>
      <c r="E54" s="191"/>
      <c r="F54" s="191"/>
      <c r="G54" s="191"/>
      <c r="H54" s="191"/>
      <c r="I54" s="191"/>
      <c r="J54" s="191"/>
      <c r="K54" s="193"/>
      <c r="L54" s="193"/>
      <c r="M54" s="193"/>
    </row>
    <row r="55" spans="1:13" s="187" customFormat="1" ht="30" customHeight="1">
      <c r="A55" s="51" t="s">
        <v>5</v>
      </c>
      <c r="B55" s="51" t="s">
        <v>1</v>
      </c>
      <c r="C55" s="51" t="s">
        <v>3</v>
      </c>
      <c r="D55" s="51" t="s">
        <v>120</v>
      </c>
      <c r="E55" s="52" t="s">
        <v>90</v>
      </c>
      <c r="F55" s="52" t="s">
        <v>91</v>
      </c>
      <c r="G55" s="52" t="s">
        <v>143</v>
      </c>
      <c r="H55" s="52" t="s">
        <v>144</v>
      </c>
      <c r="I55" s="52" t="s">
        <v>159</v>
      </c>
      <c r="J55" s="52" t="s">
        <v>119</v>
      </c>
      <c r="K55" s="52" t="s">
        <v>147</v>
      </c>
      <c r="L55" s="52" t="s">
        <v>34</v>
      </c>
      <c r="M55" s="186" t="s">
        <v>145</v>
      </c>
    </row>
    <row r="56" spans="1:13" s="196" customFormat="1" ht="15" customHeight="1">
      <c r="A56" s="358"/>
      <c r="B56" s="358"/>
      <c r="C56" s="327"/>
      <c r="D56" s="169">
        <v>1</v>
      </c>
      <c r="E56" s="169">
        <v>1</v>
      </c>
      <c r="F56" s="169"/>
      <c r="G56" s="169"/>
      <c r="H56" s="169">
        <v>1</v>
      </c>
      <c r="I56" s="148" t="s">
        <v>4</v>
      </c>
      <c r="J56" s="148">
        <v>1939</v>
      </c>
      <c r="K56" s="195">
        <v>130</v>
      </c>
      <c r="L56" s="204">
        <v>3900</v>
      </c>
      <c r="M56" s="204"/>
    </row>
    <row r="57" spans="1:13" ht="15" customHeight="1">
      <c r="A57" s="400" t="s">
        <v>98</v>
      </c>
      <c r="B57" s="400"/>
      <c r="C57" s="143"/>
      <c r="D57" s="143">
        <f>SUM(D56:D56)</f>
        <v>1</v>
      </c>
      <c r="E57" s="143">
        <f>SUM(E56:E56)</f>
        <v>1</v>
      </c>
      <c r="F57" s="143">
        <f>SUM(F56:F56)</f>
        <v>0</v>
      </c>
      <c r="G57" s="143">
        <f>SUM(G56:G56)</f>
        <v>0</v>
      </c>
      <c r="H57" s="143">
        <f>SUM(H56:H56)</f>
        <v>1</v>
      </c>
      <c r="I57" s="143"/>
      <c r="J57" s="143"/>
      <c r="K57" s="144">
        <f>SUM(K56:K56)</f>
        <v>130</v>
      </c>
      <c r="L57" s="144">
        <f>SUM(L56:L56)</f>
        <v>3900</v>
      </c>
      <c r="M57" s="144">
        <f>SUM(K57:L57)</f>
        <v>4030</v>
      </c>
    </row>
    <row r="58" spans="1:13" ht="15" customHeight="1">
      <c r="A58" s="399" t="s">
        <v>84</v>
      </c>
      <c r="B58" s="399"/>
      <c r="C58" s="191"/>
      <c r="D58" s="191"/>
      <c r="E58" s="191"/>
      <c r="F58" s="191"/>
      <c r="G58" s="191"/>
      <c r="H58" s="191"/>
      <c r="I58" s="191"/>
      <c r="J58" s="191"/>
      <c r="K58" s="193"/>
      <c r="L58" s="193"/>
      <c r="M58" s="193"/>
    </row>
    <row r="59" spans="1:13" s="187" customFormat="1" ht="30" customHeight="1">
      <c r="A59" s="51" t="s">
        <v>5</v>
      </c>
      <c r="B59" s="51" t="s">
        <v>1</v>
      </c>
      <c r="C59" s="51" t="s">
        <v>3</v>
      </c>
      <c r="D59" s="51" t="s">
        <v>120</v>
      </c>
      <c r="E59" s="52" t="s">
        <v>90</v>
      </c>
      <c r="F59" s="52" t="s">
        <v>91</v>
      </c>
      <c r="G59" s="52" t="s">
        <v>143</v>
      </c>
      <c r="H59" s="52" t="s">
        <v>144</v>
      </c>
      <c r="I59" s="52" t="s">
        <v>159</v>
      </c>
      <c r="J59" s="52" t="s">
        <v>119</v>
      </c>
      <c r="K59" s="52" t="s">
        <v>147</v>
      </c>
      <c r="L59" s="52" t="s">
        <v>34</v>
      </c>
      <c r="M59" s="186" t="s">
        <v>145</v>
      </c>
    </row>
    <row r="60" spans="1:13" ht="15" customHeight="1">
      <c r="A60" s="400" t="s">
        <v>99</v>
      </c>
      <c r="B60" s="400"/>
      <c r="C60" s="143"/>
      <c r="D60" s="143">
        <v>0</v>
      </c>
      <c r="E60" s="143">
        <v>0</v>
      </c>
      <c r="F60" s="143">
        <v>0</v>
      </c>
      <c r="G60" s="143">
        <v>0</v>
      </c>
      <c r="H60" s="143">
        <v>0</v>
      </c>
      <c r="I60" s="143"/>
      <c r="J60" s="143" t="s">
        <v>88</v>
      </c>
      <c r="K60" s="144">
        <v>0</v>
      </c>
      <c r="L60" s="144">
        <v>0</v>
      </c>
      <c r="M60" s="144">
        <v>0</v>
      </c>
    </row>
    <row r="61" spans="1:13" ht="15" customHeight="1">
      <c r="A61" s="399" t="s">
        <v>85</v>
      </c>
      <c r="B61" s="399"/>
      <c r="C61" s="191"/>
      <c r="D61" s="191"/>
      <c r="E61" s="191"/>
      <c r="F61" s="191"/>
      <c r="G61" s="191"/>
      <c r="H61" s="191"/>
      <c r="I61" s="191"/>
      <c r="J61" s="191"/>
      <c r="K61" s="193"/>
      <c r="L61" s="193"/>
      <c r="M61" s="193"/>
    </row>
    <row r="62" spans="1:13" s="187" customFormat="1" ht="30" customHeight="1">
      <c r="A62" s="51" t="s">
        <v>5</v>
      </c>
      <c r="B62" s="51" t="s">
        <v>1</v>
      </c>
      <c r="C62" s="51" t="s">
        <v>3</v>
      </c>
      <c r="D62" s="51" t="s">
        <v>120</v>
      </c>
      <c r="E62" s="52" t="s">
        <v>90</v>
      </c>
      <c r="F62" s="52" t="s">
        <v>91</v>
      </c>
      <c r="G62" s="52" t="s">
        <v>143</v>
      </c>
      <c r="H62" s="52" t="s">
        <v>144</v>
      </c>
      <c r="I62" s="52" t="s">
        <v>159</v>
      </c>
      <c r="J62" s="52" t="s">
        <v>119</v>
      </c>
      <c r="K62" s="52" t="s">
        <v>147</v>
      </c>
      <c r="L62" s="52" t="s">
        <v>34</v>
      </c>
      <c r="M62" s="186" t="s">
        <v>145</v>
      </c>
    </row>
    <row r="63" spans="1:13" s="56" customFormat="1" ht="14.25" customHeight="1">
      <c r="A63" s="358"/>
      <c r="B63" s="358"/>
      <c r="C63" s="327"/>
      <c r="D63" s="169">
        <v>2</v>
      </c>
      <c r="E63" s="148">
        <v>1</v>
      </c>
      <c r="F63" s="148">
        <v>1</v>
      </c>
      <c r="G63" s="169"/>
      <c r="H63" s="148">
        <v>2</v>
      </c>
      <c r="I63" s="148" t="s">
        <v>10</v>
      </c>
      <c r="J63" s="148">
        <v>1934</v>
      </c>
      <c r="K63" s="195">
        <v>780</v>
      </c>
      <c r="L63" s="195"/>
      <c r="M63" s="195"/>
    </row>
    <row r="64" spans="1:13" s="56" customFormat="1" ht="15" customHeight="1">
      <c r="A64" s="358"/>
      <c r="B64" s="358"/>
      <c r="C64" s="327"/>
      <c r="D64" s="169">
        <v>1</v>
      </c>
      <c r="E64" s="148">
        <v>1</v>
      </c>
      <c r="F64" s="148"/>
      <c r="G64" s="169">
        <v>1</v>
      </c>
      <c r="H64" s="148"/>
      <c r="I64" s="148"/>
      <c r="J64" s="148">
        <v>1937</v>
      </c>
      <c r="K64" s="195">
        <v>2050</v>
      </c>
      <c r="L64" s="195">
        <v>1326.81</v>
      </c>
      <c r="M64" s="195"/>
    </row>
    <row r="65" spans="1:13" s="56" customFormat="1" ht="15" customHeight="1">
      <c r="A65" s="358"/>
      <c r="B65" s="358"/>
      <c r="C65" s="327"/>
      <c r="D65" s="169">
        <v>2</v>
      </c>
      <c r="E65" s="148">
        <v>1</v>
      </c>
      <c r="F65" s="148">
        <v>1</v>
      </c>
      <c r="G65" s="169">
        <v>2</v>
      </c>
      <c r="H65" s="148"/>
      <c r="I65" s="148"/>
      <c r="J65" s="148"/>
      <c r="K65" s="195">
        <v>450</v>
      </c>
      <c r="L65" s="195"/>
      <c r="M65" s="195"/>
    </row>
    <row r="66" spans="1:13" s="56" customFormat="1" ht="15" customHeight="1">
      <c r="A66" s="358"/>
      <c r="B66" s="358"/>
      <c r="C66" s="327"/>
      <c r="D66" s="148">
        <v>1</v>
      </c>
      <c r="E66" s="148"/>
      <c r="F66" s="148">
        <v>1</v>
      </c>
      <c r="G66" s="148">
        <v>1</v>
      </c>
      <c r="H66" s="148"/>
      <c r="I66" s="148"/>
      <c r="J66" s="148">
        <v>1944</v>
      </c>
      <c r="K66" s="195">
        <v>3600</v>
      </c>
      <c r="L66" s="195"/>
      <c r="M66" s="195"/>
    </row>
    <row r="67" spans="1:13" s="56" customFormat="1" ht="15" customHeight="1">
      <c r="A67" s="358"/>
      <c r="B67" s="358"/>
      <c r="C67" s="327"/>
      <c r="D67" s="148">
        <v>1</v>
      </c>
      <c r="E67" s="148"/>
      <c r="F67" s="148">
        <v>1</v>
      </c>
      <c r="G67" s="148"/>
      <c r="H67" s="148">
        <v>1</v>
      </c>
      <c r="I67" s="148" t="s">
        <v>11</v>
      </c>
      <c r="J67" s="148">
        <v>1939</v>
      </c>
      <c r="K67" s="195">
        <v>600</v>
      </c>
      <c r="L67" s="195"/>
      <c r="M67" s="195"/>
    </row>
    <row r="68" spans="1:13" s="56" customFormat="1" ht="15" customHeight="1">
      <c r="A68" s="358"/>
      <c r="B68" s="358"/>
      <c r="C68" s="327"/>
      <c r="D68" s="148">
        <v>2</v>
      </c>
      <c r="E68" s="148">
        <v>1</v>
      </c>
      <c r="F68" s="148">
        <v>1</v>
      </c>
      <c r="G68" s="148">
        <v>2</v>
      </c>
      <c r="H68" s="148"/>
      <c r="I68" s="148"/>
      <c r="J68" s="148"/>
      <c r="K68" s="195">
        <v>1250</v>
      </c>
      <c r="L68" s="195"/>
      <c r="M68" s="195"/>
    </row>
    <row r="69" spans="1:13" ht="15" customHeight="1">
      <c r="A69" s="400" t="s">
        <v>100</v>
      </c>
      <c r="B69" s="400"/>
      <c r="C69" s="143"/>
      <c r="D69" s="143">
        <f>SUM(D63:D68)</f>
        <v>9</v>
      </c>
      <c r="E69" s="143">
        <f>SUM(E63:E68)</f>
        <v>4</v>
      </c>
      <c r="F69" s="143">
        <f>SUM(F63:F68)</f>
        <v>5</v>
      </c>
      <c r="G69" s="143">
        <f>SUM(G63:G68)</f>
        <v>6</v>
      </c>
      <c r="H69" s="143">
        <f>SUM(H63:H68)</f>
        <v>3</v>
      </c>
      <c r="I69" s="143"/>
      <c r="J69" s="143" t="s">
        <v>88</v>
      </c>
      <c r="K69" s="144">
        <f>SUM(K63:K68)</f>
        <v>8730</v>
      </c>
      <c r="L69" s="144">
        <f>SUM(L63:L68)</f>
        <v>1326.81</v>
      </c>
      <c r="M69" s="144">
        <f>SUM(K69:L69)</f>
        <v>10056.81</v>
      </c>
    </row>
    <row r="70" spans="1:13" ht="15" customHeight="1">
      <c r="A70" s="398" t="s">
        <v>112</v>
      </c>
      <c r="B70" s="398"/>
      <c r="C70" s="181"/>
      <c r="D70" s="181">
        <f>SUM(D39,D8,D47,D50,D57,D69)</f>
        <v>43</v>
      </c>
      <c r="E70" s="181">
        <f>SUM(E39,E8,E50,E69)</f>
        <v>13</v>
      </c>
      <c r="F70" s="181">
        <f>SUM(F39,F8,F47,F50,F57,F69)</f>
        <v>28</v>
      </c>
      <c r="G70" s="181">
        <f>SUM(G39,G8,G47,G50,G57,G69)</f>
        <v>37</v>
      </c>
      <c r="H70" s="181">
        <v>2</v>
      </c>
      <c r="I70" s="181"/>
      <c r="J70" s="181"/>
      <c r="K70" s="205">
        <f>K8+K39+K47+K50+K42+K53+K57+K69</f>
        <v>44320.009999999995</v>
      </c>
      <c r="L70" s="205">
        <f>L8+L39+L47+L50+L42+L53+L57+L69</f>
        <v>6162.27</v>
      </c>
      <c r="M70" s="205">
        <f>M8+M39+M47+M50+M42+M53+M57+M69</f>
        <v>50482.28</v>
      </c>
    </row>
    <row r="72" ht="15">
      <c r="A72" s="44" t="s">
        <v>182</v>
      </c>
    </row>
    <row r="73" spans="2:11" ht="15.75">
      <c r="B73" s="209"/>
      <c r="K73" s="207" t="s">
        <v>88</v>
      </c>
    </row>
    <row r="74" spans="1:2" ht="15.75">
      <c r="A74" s="210"/>
      <c r="B74" s="209"/>
    </row>
    <row r="75" spans="1:2" ht="15.75">
      <c r="A75" s="211"/>
      <c r="B75" s="159"/>
    </row>
    <row r="76" spans="1:2" ht="15.75">
      <c r="A76" s="210"/>
      <c r="B76" s="209"/>
    </row>
    <row r="77" spans="1:2" ht="15.75">
      <c r="A77" s="210"/>
      <c r="B77" s="209"/>
    </row>
    <row r="78" spans="1:2" ht="15.75">
      <c r="A78" s="210"/>
      <c r="B78" s="209"/>
    </row>
    <row r="79" spans="1:2" ht="15.75">
      <c r="A79" s="210"/>
      <c r="B79" s="209"/>
    </row>
    <row r="80" spans="1:2" ht="15">
      <c r="A80" s="212"/>
      <c r="B80" s="212"/>
    </row>
  </sheetData>
  <mergeCells count="21">
    <mergeCell ref="A43:B43"/>
    <mergeCell ref="A1:L1"/>
    <mergeCell ref="A8:B8"/>
    <mergeCell ref="A9:B9"/>
    <mergeCell ref="A39:B39"/>
    <mergeCell ref="A2:M2"/>
    <mergeCell ref="A3:B3"/>
    <mergeCell ref="A57:B57"/>
    <mergeCell ref="A60:B60"/>
    <mergeCell ref="A47:B47"/>
    <mergeCell ref="A48:B48"/>
    <mergeCell ref="A70:B70"/>
    <mergeCell ref="A61:B61"/>
    <mergeCell ref="A69:B69"/>
    <mergeCell ref="A40:B40"/>
    <mergeCell ref="A42:B42"/>
    <mergeCell ref="A51:B51"/>
    <mergeCell ref="A53:B53"/>
    <mergeCell ref="A58:B58"/>
    <mergeCell ref="A50:B50"/>
    <mergeCell ref="A54:B54"/>
  </mergeCells>
  <printOptions/>
  <pageMargins left="0.1968503937007874" right="0.1968503937007874" top="0.1968503937007874" bottom="0.1968503937007874" header="0.5118110236220472" footer="0.5118110236220472"/>
  <pageSetup horizontalDpi="600" verticalDpi="600" orientation="landscape" paperSize="9" scale="75"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sheetPr codeName="Foglio15">
    <tabColor indexed="57"/>
  </sheetPr>
  <dimension ref="A1:O226"/>
  <sheetViews>
    <sheetView workbookViewId="0" topLeftCell="A68">
      <selection activeCell="A81" sqref="A81:C92"/>
    </sheetView>
  </sheetViews>
  <sheetFormatPr defaultColWidth="9.140625" defaultRowHeight="12.75"/>
  <cols>
    <col min="1" max="2" width="20.7109375" style="44" customWidth="1"/>
    <col min="3" max="3" width="20.7109375" style="80" customWidth="1"/>
    <col min="4" max="4" width="7.7109375" style="44" customWidth="1"/>
    <col min="5" max="6" width="5.7109375" style="44" customWidth="1"/>
    <col min="7" max="7" width="9.7109375" style="55" customWidth="1"/>
    <col min="8" max="8" width="9.7109375" style="44" customWidth="1"/>
    <col min="9" max="9" width="13.7109375" style="44" customWidth="1"/>
    <col min="10" max="10" width="10.140625" style="44" customWidth="1"/>
    <col min="11" max="12" width="13.7109375" style="224" customWidth="1"/>
    <col min="13" max="13" width="15.8515625" style="129" customWidth="1"/>
    <col min="14" max="14" width="10.7109375" style="44" customWidth="1"/>
    <col min="15" max="15" width="10.8515625" style="44" bestFit="1" customWidth="1"/>
    <col min="16" max="16384" width="9.140625" style="44" customWidth="1"/>
  </cols>
  <sheetData>
    <row r="1" spans="1:13" ht="30" customHeight="1">
      <c r="A1" s="314" t="s">
        <v>68</v>
      </c>
      <c r="B1" s="315"/>
      <c r="C1" s="315"/>
      <c r="D1" s="315"/>
      <c r="E1" s="315"/>
      <c r="F1" s="315"/>
      <c r="G1" s="315"/>
      <c r="H1" s="315"/>
      <c r="I1" s="315"/>
      <c r="J1" s="315"/>
      <c r="K1" s="315"/>
      <c r="L1" s="315"/>
      <c r="M1" s="160">
        <v>40070131</v>
      </c>
    </row>
    <row r="2" spans="1:13" ht="39" customHeight="1">
      <c r="A2" s="377" t="s">
        <v>62</v>
      </c>
      <c r="B2" s="377"/>
      <c r="C2" s="377"/>
      <c r="D2" s="377"/>
      <c r="E2" s="377"/>
      <c r="F2" s="377"/>
      <c r="G2" s="377"/>
      <c r="H2" s="377"/>
      <c r="I2" s="377"/>
      <c r="J2" s="377"/>
      <c r="K2" s="377"/>
      <c r="L2" s="377"/>
      <c r="M2" s="377"/>
    </row>
    <row r="3" spans="1:13" ht="15" customHeight="1">
      <c r="A3" s="401" t="s">
        <v>77</v>
      </c>
      <c r="B3" s="401"/>
      <c r="C3" s="61"/>
      <c r="D3" s="116"/>
      <c r="E3" s="116"/>
      <c r="F3" s="116"/>
      <c r="G3" s="116"/>
      <c r="H3" s="116"/>
      <c r="I3" s="116"/>
      <c r="J3" s="116"/>
      <c r="K3" s="116"/>
      <c r="L3" s="213"/>
      <c r="M3" s="214"/>
    </row>
    <row r="4" spans="1:13" s="187" customFormat="1" ht="30.75" customHeight="1">
      <c r="A4" s="51" t="s">
        <v>5</v>
      </c>
      <c r="B4" s="51" t="s">
        <v>1</v>
      </c>
      <c r="C4" s="51" t="s">
        <v>3</v>
      </c>
      <c r="D4" s="51" t="s">
        <v>120</v>
      </c>
      <c r="E4" s="52" t="s">
        <v>90</v>
      </c>
      <c r="F4" s="52" t="s">
        <v>91</v>
      </c>
      <c r="G4" s="52" t="s">
        <v>143</v>
      </c>
      <c r="H4" s="52" t="s">
        <v>144</v>
      </c>
      <c r="I4" s="52" t="s">
        <v>159</v>
      </c>
      <c r="J4" s="52" t="s">
        <v>119</v>
      </c>
      <c r="K4" s="402" t="s">
        <v>129</v>
      </c>
      <c r="L4" s="403"/>
      <c r="M4" s="215" t="s">
        <v>13</v>
      </c>
    </row>
    <row r="5" spans="1:13" ht="15" customHeight="1">
      <c r="A5" s="357"/>
      <c r="B5" s="358"/>
      <c r="C5" s="359"/>
      <c r="D5" s="137">
        <v>1</v>
      </c>
      <c r="E5" s="137"/>
      <c r="F5" s="137">
        <v>1</v>
      </c>
      <c r="G5" s="137">
        <v>1</v>
      </c>
      <c r="H5" s="137"/>
      <c r="I5" s="137"/>
      <c r="J5" s="137">
        <v>1918</v>
      </c>
      <c r="K5" s="216">
        <v>40909</v>
      </c>
      <c r="L5" s="216">
        <v>41274</v>
      </c>
      <c r="M5" s="217">
        <v>2262</v>
      </c>
    </row>
    <row r="6" spans="1:13" ht="15" customHeight="1">
      <c r="A6" s="357"/>
      <c r="B6" s="358"/>
      <c r="C6" s="359"/>
      <c r="D6" s="137">
        <v>1</v>
      </c>
      <c r="E6" s="137"/>
      <c r="F6" s="137">
        <v>1</v>
      </c>
      <c r="G6" s="137">
        <v>1</v>
      </c>
      <c r="H6" s="137"/>
      <c r="I6" s="137"/>
      <c r="J6" s="137">
        <v>1917</v>
      </c>
      <c r="K6" s="216">
        <v>40909</v>
      </c>
      <c r="L6" s="216">
        <v>41274</v>
      </c>
      <c r="M6" s="217">
        <v>4204</v>
      </c>
    </row>
    <row r="7" spans="1:13" ht="15" customHeight="1">
      <c r="A7" s="357"/>
      <c r="B7" s="358"/>
      <c r="C7" s="359"/>
      <c r="D7" s="137">
        <v>1</v>
      </c>
      <c r="E7" s="137">
        <v>1</v>
      </c>
      <c r="F7" s="137"/>
      <c r="G7" s="137">
        <v>1</v>
      </c>
      <c r="H7" s="137"/>
      <c r="I7" s="137"/>
      <c r="J7" s="137">
        <v>1926</v>
      </c>
      <c r="K7" s="216">
        <v>41103</v>
      </c>
      <c r="L7" s="216">
        <v>41274</v>
      </c>
      <c r="M7" s="217">
        <v>1146</v>
      </c>
    </row>
    <row r="8" spans="1:13" ht="15" customHeight="1">
      <c r="A8" s="400" t="s">
        <v>93</v>
      </c>
      <c r="B8" s="400"/>
      <c r="C8" s="143"/>
      <c r="D8" s="143">
        <f>SUM(D5:D7)</f>
        <v>3</v>
      </c>
      <c r="E8" s="143">
        <f>SUM(E5:E7)</f>
        <v>1</v>
      </c>
      <c r="F8" s="143">
        <f>SUM(F5:F7)</f>
        <v>2</v>
      </c>
      <c r="G8" s="143">
        <f>SUM(G5:G7)</f>
        <v>3</v>
      </c>
      <c r="H8" s="143">
        <v>0</v>
      </c>
      <c r="I8" s="143"/>
      <c r="J8" s="143"/>
      <c r="K8" s="218"/>
      <c r="L8" s="218"/>
      <c r="M8" s="144">
        <f>SUM(M5:M7)</f>
        <v>7612</v>
      </c>
    </row>
    <row r="9" spans="1:13" ht="15" customHeight="1">
      <c r="A9" s="401" t="s">
        <v>78</v>
      </c>
      <c r="B9" s="401"/>
      <c r="C9" s="47"/>
      <c r="D9" s="116"/>
      <c r="E9" s="116"/>
      <c r="F9" s="116"/>
      <c r="G9" s="116"/>
      <c r="H9" s="116"/>
      <c r="I9" s="116"/>
      <c r="J9" s="116"/>
      <c r="K9" s="219"/>
      <c r="L9" s="116"/>
      <c r="M9" s="214"/>
    </row>
    <row r="10" spans="1:13" s="187" customFormat="1" ht="30.75" customHeight="1">
      <c r="A10" s="51" t="s">
        <v>5</v>
      </c>
      <c r="B10" s="51" t="s">
        <v>1</v>
      </c>
      <c r="C10" s="51" t="s">
        <v>3</v>
      </c>
      <c r="D10" s="51" t="s">
        <v>120</v>
      </c>
      <c r="E10" s="52" t="s">
        <v>90</v>
      </c>
      <c r="F10" s="52" t="s">
        <v>91</v>
      </c>
      <c r="G10" s="52" t="s">
        <v>143</v>
      </c>
      <c r="H10" s="52" t="s">
        <v>144</v>
      </c>
      <c r="I10" s="52" t="s">
        <v>159</v>
      </c>
      <c r="J10" s="52" t="s">
        <v>119</v>
      </c>
      <c r="K10" s="402" t="s">
        <v>129</v>
      </c>
      <c r="L10" s="403"/>
      <c r="M10" s="215" t="s">
        <v>13</v>
      </c>
    </row>
    <row r="11" spans="1:13" ht="15" customHeight="1">
      <c r="A11" s="357"/>
      <c r="B11" s="358"/>
      <c r="C11" s="359"/>
      <c r="D11" s="137">
        <v>1</v>
      </c>
      <c r="E11" s="137"/>
      <c r="F11" s="137">
        <v>1</v>
      </c>
      <c r="G11" s="137">
        <v>1</v>
      </c>
      <c r="H11" s="137"/>
      <c r="I11" s="137"/>
      <c r="J11" s="137">
        <v>1934</v>
      </c>
      <c r="K11" s="216">
        <v>40909</v>
      </c>
      <c r="L11" s="216">
        <v>41274</v>
      </c>
      <c r="M11" s="217">
        <v>559</v>
      </c>
    </row>
    <row r="12" spans="1:13" ht="15" customHeight="1">
      <c r="A12" s="357"/>
      <c r="B12" s="358"/>
      <c r="C12" s="359"/>
      <c r="D12" s="137">
        <v>1</v>
      </c>
      <c r="E12" s="137"/>
      <c r="F12" s="137">
        <v>1</v>
      </c>
      <c r="G12" s="137">
        <v>1</v>
      </c>
      <c r="H12" s="137"/>
      <c r="I12" s="137"/>
      <c r="J12" s="137">
        <v>1921</v>
      </c>
      <c r="K12" s="216">
        <v>40909</v>
      </c>
      <c r="L12" s="216">
        <v>41274</v>
      </c>
      <c r="M12" s="217">
        <v>19305</v>
      </c>
    </row>
    <row r="13" spans="1:13" ht="15" customHeight="1">
      <c r="A13" s="357"/>
      <c r="B13" s="358"/>
      <c r="C13" s="359"/>
      <c r="D13" s="137">
        <v>1</v>
      </c>
      <c r="E13" s="137"/>
      <c r="F13" s="137">
        <v>1</v>
      </c>
      <c r="G13" s="137">
        <v>1</v>
      </c>
      <c r="H13" s="137"/>
      <c r="I13" s="137"/>
      <c r="J13" s="137">
        <v>1930</v>
      </c>
      <c r="K13" s="216">
        <v>41030</v>
      </c>
      <c r="L13" s="216">
        <v>41274</v>
      </c>
      <c r="M13" s="217">
        <v>808.96</v>
      </c>
    </row>
    <row r="14" spans="1:13" ht="15" customHeight="1">
      <c r="A14" s="357"/>
      <c r="B14" s="358"/>
      <c r="C14" s="359"/>
      <c r="D14" s="137">
        <v>1</v>
      </c>
      <c r="E14" s="137"/>
      <c r="F14" s="137">
        <v>1</v>
      </c>
      <c r="G14" s="137">
        <v>1</v>
      </c>
      <c r="H14" s="137"/>
      <c r="I14" s="137"/>
      <c r="J14" s="137">
        <v>1921</v>
      </c>
      <c r="K14" s="216">
        <v>40909</v>
      </c>
      <c r="L14" s="216">
        <v>40945</v>
      </c>
      <c r="M14" s="217">
        <v>456.42</v>
      </c>
    </row>
    <row r="15" spans="1:13" ht="15" customHeight="1">
      <c r="A15" s="357"/>
      <c r="B15" s="358"/>
      <c r="C15" s="359"/>
      <c r="D15" s="137">
        <v>1</v>
      </c>
      <c r="E15" s="55"/>
      <c r="F15" s="137">
        <v>1</v>
      </c>
      <c r="G15" s="137">
        <v>1</v>
      </c>
      <c r="H15" s="137"/>
      <c r="I15" s="137"/>
      <c r="J15" s="137">
        <v>1932</v>
      </c>
      <c r="K15" s="216">
        <v>40909</v>
      </c>
      <c r="L15" s="216">
        <v>41274</v>
      </c>
      <c r="M15" s="217">
        <v>2667</v>
      </c>
    </row>
    <row r="16" spans="1:13" ht="15" customHeight="1">
      <c r="A16" s="357"/>
      <c r="B16" s="358"/>
      <c r="C16" s="359"/>
      <c r="D16" s="137">
        <v>1</v>
      </c>
      <c r="E16" s="137">
        <v>1</v>
      </c>
      <c r="F16" s="137"/>
      <c r="G16" s="137">
        <v>1</v>
      </c>
      <c r="H16" s="137"/>
      <c r="I16" s="137"/>
      <c r="J16" s="137">
        <v>1922</v>
      </c>
      <c r="K16" s="216">
        <v>40909</v>
      </c>
      <c r="L16" s="216">
        <v>41274</v>
      </c>
      <c r="M16" s="217">
        <v>5307</v>
      </c>
    </row>
    <row r="17" spans="1:13" ht="15" customHeight="1">
      <c r="A17" s="357"/>
      <c r="B17" s="358"/>
      <c r="C17" s="359"/>
      <c r="D17" s="137">
        <v>1</v>
      </c>
      <c r="E17" s="137"/>
      <c r="F17" s="137">
        <v>1</v>
      </c>
      <c r="G17" s="137">
        <v>1</v>
      </c>
      <c r="H17" s="137"/>
      <c r="I17" s="137"/>
      <c r="J17" s="137">
        <v>1925</v>
      </c>
      <c r="K17" s="216">
        <v>40909</v>
      </c>
      <c r="L17" s="216">
        <v>41274</v>
      </c>
      <c r="M17" s="217">
        <v>5316.78</v>
      </c>
    </row>
    <row r="18" spans="1:13" ht="15" customHeight="1">
      <c r="A18" s="357"/>
      <c r="B18" s="358"/>
      <c r="C18" s="359"/>
      <c r="D18" s="137">
        <v>1</v>
      </c>
      <c r="E18" s="137"/>
      <c r="F18" s="137">
        <v>1</v>
      </c>
      <c r="G18" s="137">
        <v>1</v>
      </c>
      <c r="H18" s="137"/>
      <c r="I18" s="137"/>
      <c r="J18" s="137">
        <v>1917</v>
      </c>
      <c r="K18" s="216">
        <v>41214</v>
      </c>
      <c r="L18" s="216">
        <v>41274</v>
      </c>
      <c r="M18" s="217">
        <v>693.9</v>
      </c>
    </row>
    <row r="19" spans="1:13" ht="15" customHeight="1">
      <c r="A19" s="357"/>
      <c r="B19" s="358"/>
      <c r="C19" s="359"/>
      <c r="D19" s="137">
        <v>1</v>
      </c>
      <c r="E19" s="137"/>
      <c r="F19" s="137">
        <v>1</v>
      </c>
      <c r="G19" s="137">
        <v>1</v>
      </c>
      <c r="H19" s="137"/>
      <c r="I19" s="137"/>
      <c r="J19" s="137">
        <v>1934</v>
      </c>
      <c r="K19" s="216">
        <v>40909</v>
      </c>
      <c r="L19" s="216">
        <v>41274</v>
      </c>
      <c r="M19" s="217">
        <v>6165</v>
      </c>
    </row>
    <row r="20" spans="1:13" ht="15" customHeight="1">
      <c r="A20" s="357"/>
      <c r="B20" s="358"/>
      <c r="C20" s="359"/>
      <c r="D20" s="137">
        <v>1</v>
      </c>
      <c r="E20" s="137">
        <v>1</v>
      </c>
      <c r="F20" s="137"/>
      <c r="G20" s="137">
        <v>1</v>
      </c>
      <c r="H20" s="137"/>
      <c r="I20" s="137"/>
      <c r="J20" s="137">
        <v>1925</v>
      </c>
      <c r="K20" s="216">
        <v>40909</v>
      </c>
      <c r="L20" s="216">
        <v>40981</v>
      </c>
      <c r="M20" s="217">
        <v>1888.25</v>
      </c>
    </row>
    <row r="21" spans="1:13" ht="15" customHeight="1">
      <c r="A21" s="357"/>
      <c r="B21" s="358"/>
      <c r="C21" s="359"/>
      <c r="D21" s="137">
        <v>1</v>
      </c>
      <c r="E21" s="137"/>
      <c r="F21" s="137">
        <v>1</v>
      </c>
      <c r="G21" s="137">
        <v>1</v>
      </c>
      <c r="H21" s="137"/>
      <c r="I21" s="137"/>
      <c r="J21" s="137">
        <v>1926</v>
      </c>
      <c r="K21" s="216">
        <v>40940</v>
      </c>
      <c r="L21" s="216">
        <v>41274</v>
      </c>
      <c r="M21" s="217">
        <v>3083</v>
      </c>
    </row>
    <row r="22" spans="1:13" ht="15" customHeight="1">
      <c r="A22" s="357"/>
      <c r="B22" s="358"/>
      <c r="C22" s="359"/>
      <c r="D22" s="137">
        <v>1</v>
      </c>
      <c r="E22" s="137"/>
      <c r="F22" s="137">
        <v>1</v>
      </c>
      <c r="G22" s="137">
        <v>1</v>
      </c>
      <c r="H22" s="137"/>
      <c r="I22" s="137"/>
      <c r="J22" s="137">
        <v>1914</v>
      </c>
      <c r="K22" s="216">
        <v>40909</v>
      </c>
      <c r="L22" s="216">
        <v>41274</v>
      </c>
      <c r="M22" s="217">
        <v>14335</v>
      </c>
    </row>
    <row r="23" spans="1:13" ht="15" customHeight="1">
      <c r="A23" s="357"/>
      <c r="B23" s="358"/>
      <c r="C23" s="359"/>
      <c r="D23" s="137">
        <v>1</v>
      </c>
      <c r="E23" s="137"/>
      <c r="F23" s="137">
        <v>1</v>
      </c>
      <c r="G23" s="137">
        <v>1</v>
      </c>
      <c r="H23" s="137"/>
      <c r="I23" s="137"/>
      <c r="J23" s="137">
        <v>1921</v>
      </c>
      <c r="K23" s="216">
        <v>40909</v>
      </c>
      <c r="L23" s="216">
        <v>41274</v>
      </c>
      <c r="M23" s="217">
        <v>3946.017</v>
      </c>
    </row>
    <row r="24" spans="1:13" ht="15" customHeight="1">
      <c r="A24" s="357"/>
      <c r="B24" s="358"/>
      <c r="C24" s="359"/>
      <c r="D24" s="137">
        <v>1</v>
      </c>
      <c r="E24" s="137">
        <v>1</v>
      </c>
      <c r="F24" s="137"/>
      <c r="G24" s="137">
        <v>1</v>
      </c>
      <c r="H24" s="137"/>
      <c r="I24" s="137"/>
      <c r="J24" s="137">
        <v>1944</v>
      </c>
      <c r="K24" s="216">
        <v>40914</v>
      </c>
      <c r="L24" s="216">
        <v>41274</v>
      </c>
      <c r="M24" s="217">
        <v>8582.4</v>
      </c>
    </row>
    <row r="25" spans="1:13" ht="15" customHeight="1">
      <c r="A25" s="357"/>
      <c r="B25" s="358"/>
      <c r="C25" s="359"/>
      <c r="D25" s="137">
        <v>1</v>
      </c>
      <c r="E25" s="137"/>
      <c r="F25" s="137">
        <v>1</v>
      </c>
      <c r="G25" s="137">
        <v>1</v>
      </c>
      <c r="H25" s="137"/>
      <c r="I25" s="137"/>
      <c r="J25" s="137">
        <v>1907</v>
      </c>
      <c r="K25" s="216">
        <v>40909</v>
      </c>
      <c r="L25" s="216">
        <v>41274</v>
      </c>
      <c r="M25" s="217">
        <v>4724.04</v>
      </c>
    </row>
    <row r="26" spans="1:13" ht="15" customHeight="1">
      <c r="A26" s="357"/>
      <c r="B26" s="358"/>
      <c r="C26" s="359"/>
      <c r="D26" s="137">
        <v>1</v>
      </c>
      <c r="E26" s="137">
        <v>1</v>
      </c>
      <c r="F26" s="137"/>
      <c r="G26" s="137">
        <v>1</v>
      </c>
      <c r="H26" s="137"/>
      <c r="I26" s="137"/>
      <c r="J26" s="137">
        <v>1946</v>
      </c>
      <c r="K26" s="216">
        <v>40909</v>
      </c>
      <c r="L26" s="216">
        <v>41091</v>
      </c>
      <c r="M26" s="217">
        <v>2296.84</v>
      </c>
    </row>
    <row r="27" spans="1:13" ht="15" customHeight="1">
      <c r="A27" s="357"/>
      <c r="B27" s="358"/>
      <c r="C27" s="359"/>
      <c r="D27" s="137">
        <v>1</v>
      </c>
      <c r="E27" s="137">
        <v>1</v>
      </c>
      <c r="F27" s="137"/>
      <c r="G27" s="137">
        <v>1</v>
      </c>
      <c r="H27" s="137"/>
      <c r="I27" s="137"/>
      <c r="J27" s="137">
        <v>1929</v>
      </c>
      <c r="K27" s="216">
        <v>41235</v>
      </c>
      <c r="L27" s="216">
        <v>41274</v>
      </c>
      <c r="M27" s="217">
        <v>184.32</v>
      </c>
    </row>
    <row r="28" spans="1:13" ht="15" customHeight="1">
      <c r="A28" s="357"/>
      <c r="B28" s="358"/>
      <c r="C28" s="359"/>
      <c r="D28" s="137">
        <v>1</v>
      </c>
      <c r="E28" s="137">
        <v>1</v>
      </c>
      <c r="F28" s="137"/>
      <c r="G28" s="137">
        <v>1</v>
      </c>
      <c r="H28" s="137"/>
      <c r="I28" s="137"/>
      <c r="J28" s="137">
        <v>1927</v>
      </c>
      <c r="K28" s="216">
        <v>40909</v>
      </c>
      <c r="L28" s="216">
        <v>41274</v>
      </c>
      <c r="M28" s="217">
        <v>1766.17</v>
      </c>
    </row>
    <row r="29" spans="1:13" ht="15" customHeight="1">
      <c r="A29" s="357"/>
      <c r="B29" s="358"/>
      <c r="C29" s="359"/>
      <c r="D29" s="137">
        <v>1</v>
      </c>
      <c r="E29" s="137"/>
      <c r="F29" s="137">
        <v>1</v>
      </c>
      <c r="G29" s="137">
        <v>1</v>
      </c>
      <c r="H29" s="137"/>
      <c r="I29" s="137"/>
      <c r="J29" s="137">
        <v>1945</v>
      </c>
      <c r="K29" s="216">
        <v>40928</v>
      </c>
      <c r="L29" s="216">
        <v>40981</v>
      </c>
      <c r="M29" s="217">
        <v>947.07</v>
      </c>
    </row>
    <row r="30" spans="1:13" ht="15" customHeight="1">
      <c r="A30" s="357"/>
      <c r="B30" s="358"/>
      <c r="C30" s="359"/>
      <c r="D30" s="137">
        <v>1</v>
      </c>
      <c r="E30" s="137"/>
      <c r="F30" s="137">
        <v>1</v>
      </c>
      <c r="G30" s="137">
        <v>1</v>
      </c>
      <c r="H30" s="137"/>
      <c r="I30" s="137"/>
      <c r="J30" s="137">
        <v>1931</v>
      </c>
      <c r="K30" s="216">
        <v>40909</v>
      </c>
      <c r="L30" s="216">
        <v>41274</v>
      </c>
      <c r="M30" s="217">
        <v>7756</v>
      </c>
    </row>
    <row r="31" spans="1:13" ht="15" customHeight="1">
      <c r="A31" s="357"/>
      <c r="B31" s="358"/>
      <c r="C31" s="359"/>
      <c r="D31" s="137">
        <v>1</v>
      </c>
      <c r="E31" s="137">
        <v>1</v>
      </c>
      <c r="F31" s="137"/>
      <c r="G31" s="137">
        <v>1</v>
      </c>
      <c r="H31" s="137"/>
      <c r="I31" s="137"/>
      <c r="J31" s="137">
        <v>1937</v>
      </c>
      <c r="K31" s="216">
        <v>40909</v>
      </c>
      <c r="L31" s="216">
        <v>41274</v>
      </c>
      <c r="M31" s="217">
        <v>15184.8</v>
      </c>
    </row>
    <row r="32" spans="1:13" ht="15" customHeight="1">
      <c r="A32" s="357"/>
      <c r="B32" s="358"/>
      <c r="C32" s="359"/>
      <c r="D32" s="137">
        <v>1</v>
      </c>
      <c r="E32" s="137"/>
      <c r="F32" s="137">
        <v>1</v>
      </c>
      <c r="G32" s="137">
        <v>1</v>
      </c>
      <c r="H32" s="137"/>
      <c r="I32" s="137"/>
      <c r="J32" s="137">
        <v>1918</v>
      </c>
      <c r="K32" s="216">
        <v>40909</v>
      </c>
      <c r="L32" s="216">
        <v>41274</v>
      </c>
      <c r="M32" s="217">
        <v>5099.17</v>
      </c>
    </row>
    <row r="33" spans="1:13" ht="15" customHeight="1">
      <c r="A33" s="357"/>
      <c r="B33" s="358"/>
      <c r="C33" s="359"/>
      <c r="D33" s="137">
        <v>1</v>
      </c>
      <c r="E33" s="137"/>
      <c r="F33" s="137">
        <v>1</v>
      </c>
      <c r="G33" s="137">
        <v>1</v>
      </c>
      <c r="H33" s="137"/>
      <c r="I33" s="137"/>
      <c r="J33" s="137">
        <v>1936</v>
      </c>
      <c r="K33" s="216">
        <v>40909</v>
      </c>
      <c r="L33" s="216">
        <v>41274</v>
      </c>
      <c r="M33" s="217">
        <v>11230.8</v>
      </c>
    </row>
    <row r="34" spans="1:13" ht="15" customHeight="1">
      <c r="A34" s="357"/>
      <c r="B34" s="358"/>
      <c r="C34" s="359"/>
      <c r="D34" s="137">
        <v>1</v>
      </c>
      <c r="E34" s="137">
        <v>1</v>
      </c>
      <c r="F34" s="137"/>
      <c r="G34" s="137">
        <v>1</v>
      </c>
      <c r="H34" s="137"/>
      <c r="I34" s="137"/>
      <c r="J34" s="137">
        <v>1928</v>
      </c>
      <c r="K34" s="216">
        <v>41030</v>
      </c>
      <c r="L34" s="216">
        <v>41274</v>
      </c>
      <c r="M34" s="217">
        <v>2846.85</v>
      </c>
    </row>
    <row r="35" spans="1:13" ht="15" customHeight="1">
      <c r="A35" s="357"/>
      <c r="B35" s="358"/>
      <c r="C35" s="359"/>
      <c r="D35" s="137">
        <v>1</v>
      </c>
      <c r="E35" s="137"/>
      <c r="F35" s="137">
        <v>1</v>
      </c>
      <c r="G35" s="137">
        <v>1</v>
      </c>
      <c r="H35" s="137"/>
      <c r="I35" s="137"/>
      <c r="J35" s="137">
        <v>1935</v>
      </c>
      <c r="K35" s="216" t="s">
        <v>0</v>
      </c>
      <c r="L35" s="216">
        <v>41113</v>
      </c>
      <c r="M35" s="217">
        <v>1685.16</v>
      </c>
    </row>
    <row r="36" spans="1:13" ht="15" customHeight="1">
      <c r="A36" s="357"/>
      <c r="B36" s="358"/>
      <c r="C36" s="359"/>
      <c r="D36" s="137">
        <v>1</v>
      </c>
      <c r="E36" s="137">
        <v>1</v>
      </c>
      <c r="F36" s="137"/>
      <c r="G36" s="137">
        <v>1</v>
      </c>
      <c r="H36" s="137"/>
      <c r="I36" s="137"/>
      <c r="J36" s="137">
        <v>1924</v>
      </c>
      <c r="K36" s="216">
        <v>40909</v>
      </c>
      <c r="L36" s="216">
        <v>41274</v>
      </c>
      <c r="M36" s="217">
        <v>7809</v>
      </c>
    </row>
    <row r="37" spans="1:13" ht="15" customHeight="1">
      <c r="A37" s="357"/>
      <c r="B37" s="358"/>
      <c r="C37" s="359"/>
      <c r="D37" s="137">
        <v>1</v>
      </c>
      <c r="E37" s="137"/>
      <c r="F37" s="137">
        <v>1</v>
      </c>
      <c r="G37" s="137">
        <v>1</v>
      </c>
      <c r="H37" s="137"/>
      <c r="I37" s="137"/>
      <c r="J37" s="137">
        <v>1910</v>
      </c>
      <c r="K37" s="216">
        <v>40909</v>
      </c>
      <c r="L37" s="216">
        <v>41274</v>
      </c>
      <c r="M37" s="195">
        <v>1301</v>
      </c>
    </row>
    <row r="38" spans="1:13" ht="15" customHeight="1">
      <c r="A38" s="357"/>
      <c r="B38" s="358"/>
      <c r="C38" s="359"/>
      <c r="D38" s="137">
        <v>1</v>
      </c>
      <c r="E38" s="137"/>
      <c r="F38" s="137">
        <v>1</v>
      </c>
      <c r="G38" s="137">
        <v>1</v>
      </c>
      <c r="H38" s="137"/>
      <c r="I38" s="137"/>
      <c r="J38" s="137">
        <v>1920</v>
      </c>
      <c r="K38" s="216"/>
      <c r="L38" s="216"/>
      <c r="M38" s="217">
        <v>925.72</v>
      </c>
    </row>
    <row r="39" spans="1:13" ht="15" customHeight="1">
      <c r="A39" s="404" t="s">
        <v>94</v>
      </c>
      <c r="B39" s="405"/>
      <c r="C39" s="143"/>
      <c r="D39" s="143">
        <f>SUM(D11:D38)</f>
        <v>28</v>
      </c>
      <c r="E39" s="143">
        <f>SUM(E11:E38)</f>
        <v>9</v>
      </c>
      <c r="F39" s="143">
        <f>SUM(F11:F38)</f>
        <v>19</v>
      </c>
      <c r="G39" s="143">
        <f>SUM(G11:G38)</f>
        <v>28</v>
      </c>
      <c r="H39" s="143">
        <f>SUM(H11:H38)</f>
        <v>0</v>
      </c>
      <c r="I39" s="143">
        <v>0</v>
      </c>
      <c r="J39" s="143" t="s">
        <v>88</v>
      </c>
      <c r="K39" s="218" t="s">
        <v>88</v>
      </c>
      <c r="L39" s="143" t="s">
        <v>89</v>
      </c>
      <c r="M39" s="144">
        <f>SUM(M11:M38)</f>
        <v>136870.66700000002</v>
      </c>
    </row>
    <row r="40" spans="1:13" ht="15" customHeight="1">
      <c r="A40" s="399" t="s">
        <v>79</v>
      </c>
      <c r="B40" s="399"/>
      <c r="C40" s="191"/>
      <c r="D40" s="191"/>
      <c r="E40" s="191"/>
      <c r="F40" s="191"/>
      <c r="G40" s="191"/>
      <c r="H40" s="191"/>
      <c r="I40" s="191"/>
      <c r="J40" s="191"/>
      <c r="K40" s="220"/>
      <c r="L40" s="191"/>
      <c r="M40" s="201"/>
    </row>
    <row r="41" spans="1:13" s="187" customFormat="1" ht="30.75" customHeight="1">
      <c r="A41" s="51" t="s">
        <v>5</v>
      </c>
      <c r="B41" s="51" t="s">
        <v>1</v>
      </c>
      <c r="C41" s="51" t="s">
        <v>3</v>
      </c>
      <c r="D41" s="51" t="s">
        <v>120</v>
      </c>
      <c r="E41" s="52" t="s">
        <v>90</v>
      </c>
      <c r="F41" s="52" t="s">
        <v>91</v>
      </c>
      <c r="G41" s="52" t="s">
        <v>143</v>
      </c>
      <c r="H41" s="52" t="s">
        <v>144</v>
      </c>
      <c r="I41" s="52" t="s">
        <v>159</v>
      </c>
      <c r="J41" s="52" t="s">
        <v>119</v>
      </c>
      <c r="K41" s="402" t="s">
        <v>129</v>
      </c>
      <c r="L41" s="403"/>
      <c r="M41" s="215" t="s">
        <v>13</v>
      </c>
    </row>
    <row r="42" spans="1:13" ht="15" customHeight="1">
      <c r="A42" s="357"/>
      <c r="B42" s="357"/>
      <c r="C42" s="359"/>
      <c r="D42" s="137">
        <v>1</v>
      </c>
      <c r="E42" s="137">
        <v>1</v>
      </c>
      <c r="F42" s="137"/>
      <c r="G42" s="137">
        <v>1</v>
      </c>
      <c r="H42" s="137"/>
      <c r="I42" s="137"/>
      <c r="J42" s="137">
        <v>1929</v>
      </c>
      <c r="K42" s="216">
        <v>40909</v>
      </c>
      <c r="L42" s="216">
        <v>41019</v>
      </c>
      <c r="M42" s="217">
        <v>2190.75</v>
      </c>
    </row>
    <row r="43" spans="1:13" ht="15" customHeight="1">
      <c r="A43" s="357"/>
      <c r="B43" s="358"/>
      <c r="C43" s="359"/>
      <c r="D43" s="137">
        <v>1</v>
      </c>
      <c r="E43" s="137">
        <v>1</v>
      </c>
      <c r="F43" s="137"/>
      <c r="G43" s="137">
        <v>1</v>
      </c>
      <c r="H43" s="137"/>
      <c r="I43" s="137"/>
      <c r="J43" s="137">
        <v>1941</v>
      </c>
      <c r="K43" s="216">
        <v>40909</v>
      </c>
      <c r="L43" s="216">
        <v>40940</v>
      </c>
      <c r="M43" s="217">
        <v>2264.32</v>
      </c>
    </row>
    <row r="44" spans="1:13" ht="15" customHeight="1">
      <c r="A44" s="357"/>
      <c r="B44" s="358"/>
      <c r="C44" s="359"/>
      <c r="D44" s="137">
        <v>1</v>
      </c>
      <c r="E44" s="137">
        <v>1</v>
      </c>
      <c r="F44" s="137"/>
      <c r="G44" s="137">
        <v>1</v>
      </c>
      <c r="H44" s="137"/>
      <c r="I44" s="137"/>
      <c r="J44" s="137">
        <v>1933</v>
      </c>
      <c r="K44" s="216">
        <v>40909</v>
      </c>
      <c r="L44" s="216">
        <v>40940</v>
      </c>
      <c r="M44" s="217">
        <v>157.5</v>
      </c>
    </row>
    <row r="45" spans="1:13" ht="15" customHeight="1">
      <c r="A45" s="357"/>
      <c r="B45" s="358"/>
      <c r="C45" s="359"/>
      <c r="D45" s="137">
        <v>1</v>
      </c>
      <c r="E45" s="137"/>
      <c r="F45" s="137">
        <v>1</v>
      </c>
      <c r="G45" s="137">
        <v>1</v>
      </c>
      <c r="H45" s="137"/>
      <c r="I45" s="137"/>
      <c r="J45" s="137">
        <v>1914</v>
      </c>
      <c r="K45" s="216">
        <v>40909</v>
      </c>
      <c r="L45" s="216">
        <v>41031</v>
      </c>
      <c r="M45" s="217">
        <v>3174.77</v>
      </c>
    </row>
    <row r="46" spans="1:13" ht="15" customHeight="1">
      <c r="A46" s="357"/>
      <c r="B46" s="358"/>
      <c r="C46" s="359"/>
      <c r="D46" s="137">
        <v>1</v>
      </c>
      <c r="E46" s="137"/>
      <c r="F46" s="137">
        <v>1</v>
      </c>
      <c r="G46" s="137">
        <v>1</v>
      </c>
      <c r="H46" s="137"/>
      <c r="I46" s="137"/>
      <c r="J46" s="137">
        <v>1925</v>
      </c>
      <c r="K46" s="216">
        <v>40725</v>
      </c>
      <c r="L46" s="216">
        <v>40908</v>
      </c>
      <c r="M46" s="217">
        <v>912.6</v>
      </c>
    </row>
    <row r="47" spans="1:13" ht="15" customHeight="1">
      <c r="A47" s="400" t="s">
        <v>95</v>
      </c>
      <c r="B47" s="400"/>
      <c r="C47" s="143"/>
      <c r="D47" s="143">
        <f>SUM(D42:D46)</f>
        <v>5</v>
      </c>
      <c r="E47" s="143">
        <f>SUM(E42:E46)</f>
        <v>3</v>
      </c>
      <c r="F47" s="143">
        <f>SUM(F42:F46)</f>
        <v>2</v>
      </c>
      <c r="G47" s="143">
        <f>SUM(G42:G46)</f>
        <v>5</v>
      </c>
      <c r="H47" s="143">
        <f>SUM(H42:H46)</f>
        <v>0</v>
      </c>
      <c r="I47" s="143"/>
      <c r="J47" s="143"/>
      <c r="K47" s="218"/>
      <c r="L47" s="218"/>
      <c r="M47" s="144">
        <f>SUM(M42:M46)</f>
        <v>8699.94</v>
      </c>
    </row>
    <row r="48" spans="1:13" ht="15" customHeight="1">
      <c r="A48" s="399" t="s">
        <v>80</v>
      </c>
      <c r="B48" s="399"/>
      <c r="C48" s="191"/>
      <c r="D48" s="191"/>
      <c r="E48" s="191"/>
      <c r="F48" s="191"/>
      <c r="G48" s="191"/>
      <c r="H48" s="191"/>
      <c r="I48" s="191"/>
      <c r="J48" s="191"/>
      <c r="K48" s="220"/>
      <c r="L48" s="191"/>
      <c r="M48" s="201"/>
    </row>
    <row r="49" spans="1:13" s="187" customFormat="1" ht="30.75" customHeight="1">
      <c r="A49" s="51" t="s">
        <v>5</v>
      </c>
      <c r="B49" s="51" t="s">
        <v>1</v>
      </c>
      <c r="C49" s="51" t="s">
        <v>3</v>
      </c>
      <c r="D49" s="51" t="s">
        <v>120</v>
      </c>
      <c r="E49" s="52" t="s">
        <v>90</v>
      </c>
      <c r="F49" s="52" t="s">
        <v>91</v>
      </c>
      <c r="G49" s="52" t="s">
        <v>143</v>
      </c>
      <c r="H49" s="52" t="s">
        <v>144</v>
      </c>
      <c r="I49" s="52" t="s">
        <v>159</v>
      </c>
      <c r="J49" s="52" t="s">
        <v>119</v>
      </c>
      <c r="K49" s="402" t="s">
        <v>129</v>
      </c>
      <c r="L49" s="403"/>
      <c r="M49" s="215" t="s">
        <v>13</v>
      </c>
    </row>
    <row r="50" spans="1:13" ht="15" customHeight="1">
      <c r="A50" s="357"/>
      <c r="B50" s="369"/>
      <c r="C50" s="359"/>
      <c r="D50" s="137">
        <v>1</v>
      </c>
      <c r="E50" s="137">
        <v>1</v>
      </c>
      <c r="F50" s="137"/>
      <c r="G50" s="137">
        <v>1</v>
      </c>
      <c r="H50" s="137"/>
      <c r="I50" s="137"/>
      <c r="J50" s="137">
        <v>1927</v>
      </c>
      <c r="K50" s="216">
        <v>40909</v>
      </c>
      <c r="L50" s="216">
        <v>40912</v>
      </c>
      <c r="M50" s="217">
        <v>163.54</v>
      </c>
    </row>
    <row r="51" spans="1:13" ht="15" customHeight="1">
      <c r="A51" s="357"/>
      <c r="B51" s="369"/>
      <c r="C51" s="359"/>
      <c r="D51" s="137">
        <v>1</v>
      </c>
      <c r="E51" s="137"/>
      <c r="F51" s="137">
        <v>1</v>
      </c>
      <c r="G51" s="137">
        <v>1</v>
      </c>
      <c r="H51" s="137"/>
      <c r="I51" s="137"/>
      <c r="J51" s="137">
        <v>1935</v>
      </c>
      <c r="K51" s="216">
        <v>41000</v>
      </c>
      <c r="L51" s="216">
        <v>41274</v>
      </c>
      <c r="M51" s="217">
        <v>1055.8</v>
      </c>
    </row>
    <row r="52" spans="1:13" ht="15" customHeight="1">
      <c r="A52" s="400" t="s">
        <v>96</v>
      </c>
      <c r="B52" s="400"/>
      <c r="C52" s="143"/>
      <c r="D52" s="143">
        <f>SUM(D50:D51)</f>
        <v>2</v>
      </c>
      <c r="E52" s="143">
        <f>SUM(E50:E51)</f>
        <v>1</v>
      </c>
      <c r="F52" s="143">
        <f>SUM(F50:F51)</f>
        <v>1</v>
      </c>
      <c r="G52" s="143">
        <f>SUM(G50:G51)</f>
        <v>2</v>
      </c>
      <c r="H52" s="143">
        <f>SUM(H50:H50)</f>
        <v>0</v>
      </c>
      <c r="I52" s="143"/>
      <c r="J52" s="143"/>
      <c r="K52" s="218"/>
      <c r="L52" s="218"/>
      <c r="M52" s="144">
        <f>SUM(M50:M51)</f>
        <v>1219.34</v>
      </c>
    </row>
    <row r="53" spans="1:13" ht="15" customHeight="1">
      <c r="A53" s="399" t="s">
        <v>81</v>
      </c>
      <c r="B53" s="399"/>
      <c r="C53" s="191"/>
      <c r="D53" s="191"/>
      <c r="E53" s="191"/>
      <c r="F53" s="191"/>
      <c r="G53" s="191"/>
      <c r="H53" s="191"/>
      <c r="I53" s="191"/>
      <c r="J53" s="191"/>
      <c r="K53" s="220"/>
      <c r="L53" s="191"/>
      <c r="M53" s="201"/>
    </row>
    <row r="54" spans="1:13" s="187" customFormat="1" ht="30.75" customHeight="1">
      <c r="A54" s="51" t="s">
        <v>5</v>
      </c>
      <c r="B54" s="51" t="s">
        <v>1</v>
      </c>
      <c r="C54" s="51" t="s">
        <v>3</v>
      </c>
      <c r="D54" s="51" t="s">
        <v>120</v>
      </c>
      <c r="E54" s="52" t="s">
        <v>90</v>
      </c>
      <c r="F54" s="52" t="s">
        <v>91</v>
      </c>
      <c r="G54" s="52" t="s">
        <v>143</v>
      </c>
      <c r="H54" s="52" t="s">
        <v>144</v>
      </c>
      <c r="I54" s="52" t="s">
        <v>159</v>
      </c>
      <c r="J54" s="52" t="s">
        <v>119</v>
      </c>
      <c r="K54" s="402" t="s">
        <v>129</v>
      </c>
      <c r="L54" s="403"/>
      <c r="M54" s="215" t="s">
        <v>13</v>
      </c>
    </row>
    <row r="55" spans="1:13" ht="15" customHeight="1">
      <c r="A55" s="400" t="s">
        <v>97</v>
      </c>
      <c r="B55" s="400"/>
      <c r="C55" s="143"/>
      <c r="D55" s="143">
        <v>0</v>
      </c>
      <c r="E55" s="143">
        <v>0</v>
      </c>
      <c r="F55" s="143">
        <v>0</v>
      </c>
      <c r="G55" s="143">
        <v>0</v>
      </c>
      <c r="H55" s="143">
        <v>0</v>
      </c>
      <c r="I55" s="143"/>
      <c r="J55" s="143"/>
      <c r="K55" s="218"/>
      <c r="L55" s="218"/>
      <c r="M55" s="144">
        <v>0</v>
      </c>
    </row>
    <row r="56" spans="1:13" ht="15" customHeight="1">
      <c r="A56" s="399" t="s">
        <v>82</v>
      </c>
      <c r="B56" s="399"/>
      <c r="C56" s="191"/>
      <c r="D56" s="191"/>
      <c r="E56" s="191"/>
      <c r="F56" s="191"/>
      <c r="G56" s="191"/>
      <c r="H56" s="191"/>
      <c r="I56" s="191"/>
      <c r="J56" s="191"/>
      <c r="K56" s="220"/>
      <c r="L56" s="191"/>
      <c r="M56" s="201"/>
    </row>
    <row r="57" spans="1:13" s="187" customFormat="1" ht="30.75" customHeight="1">
      <c r="A57" s="51" t="s">
        <v>5</v>
      </c>
      <c r="B57" s="51" t="s">
        <v>1</v>
      </c>
      <c r="C57" s="51" t="s">
        <v>3</v>
      </c>
      <c r="D57" s="51" t="s">
        <v>120</v>
      </c>
      <c r="E57" s="52" t="s">
        <v>90</v>
      </c>
      <c r="F57" s="52" t="s">
        <v>91</v>
      </c>
      <c r="G57" s="52" t="s">
        <v>143</v>
      </c>
      <c r="H57" s="52" t="s">
        <v>144</v>
      </c>
      <c r="I57" s="52" t="s">
        <v>159</v>
      </c>
      <c r="J57" s="52" t="s">
        <v>119</v>
      </c>
      <c r="K57" s="402" t="s">
        <v>129</v>
      </c>
      <c r="L57" s="403"/>
      <c r="M57" s="215" t="s">
        <v>13</v>
      </c>
    </row>
    <row r="58" spans="1:13" ht="15" customHeight="1">
      <c r="A58" s="400" t="s">
        <v>146</v>
      </c>
      <c r="B58" s="400"/>
      <c r="C58" s="143"/>
      <c r="D58" s="143">
        <v>0</v>
      </c>
      <c r="E58" s="143">
        <v>0</v>
      </c>
      <c r="F58" s="143">
        <v>0</v>
      </c>
      <c r="G58" s="143">
        <v>0</v>
      </c>
      <c r="H58" s="143">
        <v>0</v>
      </c>
      <c r="I58" s="143"/>
      <c r="J58" s="143"/>
      <c r="K58" s="218"/>
      <c r="L58" s="218"/>
      <c r="M58" s="144">
        <v>0</v>
      </c>
    </row>
    <row r="59" spans="1:13" ht="15" customHeight="1">
      <c r="A59" s="399" t="s">
        <v>83</v>
      </c>
      <c r="B59" s="399"/>
      <c r="C59" s="191"/>
      <c r="D59" s="191"/>
      <c r="E59" s="191"/>
      <c r="F59" s="191"/>
      <c r="G59" s="191"/>
      <c r="H59" s="191"/>
      <c r="I59" s="191"/>
      <c r="J59" s="191"/>
      <c r="K59" s="402"/>
      <c r="L59" s="403"/>
      <c r="M59" s="215"/>
    </row>
    <row r="60" spans="1:13" s="187" customFormat="1" ht="30.75" customHeight="1">
      <c r="A60" s="51" t="s">
        <v>5</v>
      </c>
      <c r="B60" s="51" t="s">
        <v>1</v>
      </c>
      <c r="C60" s="51" t="s">
        <v>3</v>
      </c>
      <c r="D60" s="51" t="s">
        <v>120</v>
      </c>
      <c r="E60" s="52" t="s">
        <v>90</v>
      </c>
      <c r="F60" s="52" t="s">
        <v>91</v>
      </c>
      <c r="G60" s="52" t="s">
        <v>143</v>
      </c>
      <c r="H60" s="52" t="s">
        <v>144</v>
      </c>
      <c r="I60" s="52" t="s">
        <v>159</v>
      </c>
      <c r="J60" s="52" t="s">
        <v>119</v>
      </c>
      <c r="K60" s="402" t="s">
        <v>129</v>
      </c>
      <c r="L60" s="403"/>
      <c r="M60" s="215" t="s">
        <v>13</v>
      </c>
    </row>
    <row r="61" spans="1:13" ht="15" customHeight="1">
      <c r="A61" s="357"/>
      <c r="B61" s="358"/>
      <c r="C61" s="359"/>
      <c r="D61" s="137">
        <v>1</v>
      </c>
      <c r="E61" s="137"/>
      <c r="F61" s="137">
        <v>1</v>
      </c>
      <c r="G61" s="137">
        <v>1</v>
      </c>
      <c r="H61" s="137"/>
      <c r="I61" s="137"/>
      <c r="J61" s="137">
        <v>1915</v>
      </c>
      <c r="K61" s="216">
        <v>40909</v>
      </c>
      <c r="L61" s="216">
        <v>41274</v>
      </c>
      <c r="M61" s="217">
        <v>1604</v>
      </c>
    </row>
    <row r="62" spans="1:15" ht="15" customHeight="1">
      <c r="A62" s="357"/>
      <c r="B62" s="358"/>
      <c r="C62" s="359"/>
      <c r="D62" s="137">
        <v>1</v>
      </c>
      <c r="E62" s="137"/>
      <c r="F62" s="137">
        <v>1</v>
      </c>
      <c r="G62" s="137">
        <v>1</v>
      </c>
      <c r="H62" s="137"/>
      <c r="I62" s="137"/>
      <c r="J62" s="137">
        <v>1919</v>
      </c>
      <c r="K62" s="216">
        <v>40909</v>
      </c>
      <c r="L62" s="216">
        <v>41274</v>
      </c>
      <c r="M62" s="217">
        <v>1026.27</v>
      </c>
      <c r="O62" s="126"/>
    </row>
    <row r="63" spans="1:15" ht="15" customHeight="1">
      <c r="A63" s="357"/>
      <c r="B63" s="358"/>
      <c r="C63" s="359"/>
      <c r="D63" s="137">
        <v>1</v>
      </c>
      <c r="E63" s="137">
        <v>1</v>
      </c>
      <c r="F63" s="137"/>
      <c r="G63" s="137">
        <v>1</v>
      </c>
      <c r="H63" s="137"/>
      <c r="I63" s="137"/>
      <c r="J63" s="137">
        <v>1934</v>
      </c>
      <c r="K63" s="216">
        <v>40909</v>
      </c>
      <c r="L63" s="216">
        <v>40968</v>
      </c>
      <c r="M63" s="217">
        <v>2791.81</v>
      </c>
      <c r="O63" s="126"/>
    </row>
    <row r="64" spans="1:15" ht="15" customHeight="1">
      <c r="A64" s="357"/>
      <c r="B64" s="358"/>
      <c r="C64" s="359"/>
      <c r="D64" s="137">
        <v>1</v>
      </c>
      <c r="E64" s="137"/>
      <c r="F64" s="137">
        <v>1</v>
      </c>
      <c r="G64" s="137">
        <v>1</v>
      </c>
      <c r="H64" s="137"/>
      <c r="I64" s="137"/>
      <c r="J64" s="137">
        <v>1909</v>
      </c>
      <c r="K64" s="216">
        <v>41091</v>
      </c>
      <c r="L64" s="216">
        <v>41274</v>
      </c>
      <c r="M64" s="217">
        <v>630.25</v>
      </c>
      <c r="O64" s="126"/>
    </row>
    <row r="65" spans="1:15" ht="15" customHeight="1">
      <c r="A65" s="357"/>
      <c r="B65" s="358"/>
      <c r="C65" s="359"/>
      <c r="D65" s="137">
        <v>1</v>
      </c>
      <c r="E65" s="137">
        <v>1</v>
      </c>
      <c r="F65" s="137"/>
      <c r="G65" s="137"/>
      <c r="H65" s="137"/>
      <c r="I65" s="137"/>
      <c r="J65" s="137">
        <v>1933</v>
      </c>
      <c r="K65" s="216">
        <v>41058</v>
      </c>
      <c r="L65" s="216">
        <v>41274</v>
      </c>
      <c r="M65" s="217">
        <v>2904</v>
      </c>
      <c r="O65" s="126"/>
    </row>
    <row r="66" spans="1:13" ht="15" customHeight="1">
      <c r="A66" s="357"/>
      <c r="B66" s="358"/>
      <c r="C66" s="359"/>
      <c r="D66" s="137">
        <v>1</v>
      </c>
      <c r="E66" s="137">
        <v>1</v>
      </c>
      <c r="F66" s="137"/>
      <c r="G66" s="137">
        <v>1</v>
      </c>
      <c r="H66" s="137"/>
      <c r="I66" s="137"/>
      <c r="J66" s="137">
        <v>1948</v>
      </c>
      <c r="K66" s="216">
        <v>40909</v>
      </c>
      <c r="L66" s="216">
        <v>41274</v>
      </c>
      <c r="M66" s="217">
        <v>8282.07</v>
      </c>
    </row>
    <row r="67" spans="1:13" ht="15" customHeight="1">
      <c r="A67" s="357"/>
      <c r="B67" s="358"/>
      <c r="C67" s="359"/>
      <c r="D67" s="137">
        <v>1</v>
      </c>
      <c r="E67" s="137"/>
      <c r="F67" s="137">
        <v>1</v>
      </c>
      <c r="G67" s="137">
        <v>1</v>
      </c>
      <c r="H67" s="137"/>
      <c r="I67" s="137"/>
      <c r="J67" s="137">
        <v>1942</v>
      </c>
      <c r="K67" s="216">
        <v>40978</v>
      </c>
      <c r="L67" s="216">
        <v>41274</v>
      </c>
      <c r="M67" s="217">
        <v>7083</v>
      </c>
    </row>
    <row r="68" spans="1:13" ht="15" customHeight="1">
      <c r="A68" s="357"/>
      <c r="B68" s="358"/>
      <c r="C68" s="359"/>
      <c r="D68" s="137">
        <v>1</v>
      </c>
      <c r="E68" s="137"/>
      <c r="F68" s="137">
        <v>1</v>
      </c>
      <c r="G68" s="137">
        <v>1</v>
      </c>
      <c r="H68" s="137"/>
      <c r="I68" s="137"/>
      <c r="J68" s="137">
        <v>1934</v>
      </c>
      <c r="K68" s="216">
        <v>41197</v>
      </c>
      <c r="L68" s="216">
        <v>41274</v>
      </c>
      <c r="M68" s="217">
        <v>2136.81</v>
      </c>
    </row>
    <row r="69" spans="1:13" ht="15" customHeight="1">
      <c r="A69" s="357"/>
      <c r="B69" s="358"/>
      <c r="C69" s="359"/>
      <c r="D69" s="137">
        <v>1</v>
      </c>
      <c r="E69" s="137">
        <v>1</v>
      </c>
      <c r="F69" s="137"/>
      <c r="G69" s="137">
        <v>1</v>
      </c>
      <c r="H69" s="137"/>
      <c r="I69" s="137"/>
      <c r="J69" s="137">
        <v>1934</v>
      </c>
      <c r="K69" s="216">
        <v>40909</v>
      </c>
      <c r="L69" s="216">
        <v>41274</v>
      </c>
      <c r="M69" s="217">
        <v>4019.52</v>
      </c>
    </row>
    <row r="70" spans="1:13" ht="15" customHeight="1">
      <c r="A70" s="357"/>
      <c r="B70" s="358"/>
      <c r="C70" s="359"/>
      <c r="D70" s="137">
        <v>1</v>
      </c>
      <c r="E70" s="137">
        <v>1</v>
      </c>
      <c r="F70" s="137"/>
      <c r="G70" s="137">
        <v>1</v>
      </c>
      <c r="H70" s="137"/>
      <c r="I70" s="137"/>
      <c r="J70" s="137">
        <v>1921</v>
      </c>
      <c r="K70" s="216">
        <v>41114</v>
      </c>
      <c r="L70" s="216">
        <v>41246</v>
      </c>
      <c r="M70" s="217">
        <v>1483.29</v>
      </c>
    </row>
    <row r="71" spans="1:13" ht="15" customHeight="1">
      <c r="A71" s="357"/>
      <c r="B71" s="358"/>
      <c r="C71" s="359"/>
      <c r="D71" s="137">
        <v>1</v>
      </c>
      <c r="E71" s="137">
        <v>1</v>
      </c>
      <c r="F71" s="137"/>
      <c r="G71" s="137">
        <v>1</v>
      </c>
      <c r="H71" s="137"/>
      <c r="I71" s="137"/>
      <c r="J71" s="137">
        <v>1943</v>
      </c>
      <c r="K71" s="216">
        <v>40909</v>
      </c>
      <c r="L71" s="216">
        <v>41229</v>
      </c>
      <c r="M71" s="217">
        <v>324.21</v>
      </c>
    </row>
    <row r="72" spans="1:13" ht="15" customHeight="1">
      <c r="A72" s="358"/>
      <c r="B72" s="357"/>
      <c r="C72" s="359"/>
      <c r="D72" s="137">
        <v>1</v>
      </c>
      <c r="E72" s="137">
        <v>1</v>
      </c>
      <c r="F72" s="137"/>
      <c r="G72" s="137"/>
      <c r="H72" s="137">
        <v>1</v>
      </c>
      <c r="I72" s="137" t="s">
        <v>4</v>
      </c>
      <c r="J72" s="137">
        <v>1939</v>
      </c>
      <c r="K72" s="216">
        <v>40909</v>
      </c>
      <c r="L72" s="216">
        <v>41185</v>
      </c>
      <c r="M72" s="217">
        <v>5093</v>
      </c>
    </row>
    <row r="73" spans="1:13" ht="15" customHeight="1">
      <c r="A73" s="400" t="s">
        <v>98</v>
      </c>
      <c r="B73" s="400"/>
      <c r="C73" s="143"/>
      <c r="D73" s="143">
        <f>SUM(D61:D72)</f>
        <v>12</v>
      </c>
      <c r="E73" s="143">
        <f>SUM(E61:E72)</f>
        <v>7</v>
      </c>
      <c r="F73" s="143">
        <f>SUM(F61:F72)</f>
        <v>5</v>
      </c>
      <c r="G73" s="143">
        <f>SUM(G61:G72)</f>
        <v>10</v>
      </c>
      <c r="H73" s="143">
        <f>SUM(H61:H72)</f>
        <v>1</v>
      </c>
      <c r="I73" s="143"/>
      <c r="J73" s="143"/>
      <c r="K73" s="218"/>
      <c r="L73" s="218"/>
      <c r="M73" s="144">
        <f>SUM(M61:M72)</f>
        <v>37378.23</v>
      </c>
    </row>
    <row r="74" spans="1:13" ht="15" customHeight="1">
      <c r="A74" s="399" t="s">
        <v>84</v>
      </c>
      <c r="B74" s="399"/>
      <c r="C74" s="191"/>
      <c r="D74" s="191"/>
      <c r="E74" s="191"/>
      <c r="F74" s="191"/>
      <c r="G74" s="191"/>
      <c r="H74" s="191"/>
      <c r="I74" s="191"/>
      <c r="J74" s="191"/>
      <c r="K74" s="220"/>
      <c r="L74" s="220"/>
      <c r="M74" s="201"/>
    </row>
    <row r="75" spans="1:13" s="187" customFormat="1" ht="30.75" customHeight="1">
      <c r="A75" s="51" t="s">
        <v>5</v>
      </c>
      <c r="B75" s="51" t="s">
        <v>1</v>
      </c>
      <c r="C75" s="51" t="s">
        <v>3</v>
      </c>
      <c r="D75" s="51" t="s">
        <v>120</v>
      </c>
      <c r="E75" s="52" t="s">
        <v>90</v>
      </c>
      <c r="F75" s="52" t="s">
        <v>91</v>
      </c>
      <c r="G75" s="52" t="s">
        <v>143</v>
      </c>
      <c r="H75" s="52" t="s">
        <v>144</v>
      </c>
      <c r="I75" s="52" t="s">
        <v>159</v>
      </c>
      <c r="J75" s="52" t="s">
        <v>119</v>
      </c>
      <c r="K75" s="402" t="s">
        <v>129</v>
      </c>
      <c r="L75" s="403"/>
      <c r="M75" s="215" t="s">
        <v>13</v>
      </c>
    </row>
    <row r="76" spans="1:13" ht="15" customHeight="1">
      <c r="A76" s="357"/>
      <c r="B76" s="358"/>
      <c r="C76" s="359"/>
      <c r="D76" s="137">
        <v>1</v>
      </c>
      <c r="E76" s="137"/>
      <c r="F76" s="137">
        <v>1</v>
      </c>
      <c r="G76" s="137">
        <v>1</v>
      </c>
      <c r="H76" s="137"/>
      <c r="I76" s="137"/>
      <c r="J76" s="137">
        <v>1915</v>
      </c>
      <c r="K76" s="216">
        <v>41215</v>
      </c>
      <c r="L76" s="216">
        <v>41274</v>
      </c>
      <c r="M76" s="217">
        <v>344.96</v>
      </c>
    </row>
    <row r="77" spans="1:13" ht="15" customHeight="1">
      <c r="A77" s="357"/>
      <c r="B77" s="358"/>
      <c r="C77" s="359"/>
      <c r="D77" s="137">
        <v>1</v>
      </c>
      <c r="E77" s="137">
        <v>1</v>
      </c>
      <c r="F77" s="137"/>
      <c r="G77" s="137">
        <v>1</v>
      </c>
      <c r="H77" s="137"/>
      <c r="I77" s="137"/>
      <c r="J77" s="137">
        <v>1941</v>
      </c>
      <c r="K77" s="216">
        <v>40909</v>
      </c>
      <c r="L77" s="216">
        <v>41274</v>
      </c>
      <c r="M77" s="217">
        <v>6099.67</v>
      </c>
    </row>
    <row r="78" spans="1:13" ht="15" customHeight="1">
      <c r="A78" s="400" t="s">
        <v>99</v>
      </c>
      <c r="B78" s="400"/>
      <c r="C78" s="143"/>
      <c r="D78" s="143">
        <f>SUM(D76:D77)</f>
        <v>2</v>
      </c>
      <c r="E78" s="143">
        <f>SUM(E76)</f>
        <v>0</v>
      </c>
      <c r="F78" s="143">
        <f>SUM(F76)</f>
        <v>1</v>
      </c>
      <c r="G78" s="143">
        <f>SUM(G76)</f>
        <v>1</v>
      </c>
      <c r="H78" s="143">
        <v>0</v>
      </c>
      <c r="I78" s="143"/>
      <c r="J78" s="143"/>
      <c r="K78" s="218"/>
      <c r="L78" s="218"/>
      <c r="M78" s="144">
        <f>SUM(M76:M77)</f>
        <v>6444.63</v>
      </c>
    </row>
    <row r="79" spans="1:13" ht="15" customHeight="1">
      <c r="A79" s="399" t="s">
        <v>85</v>
      </c>
      <c r="B79" s="399"/>
      <c r="C79" s="191"/>
      <c r="D79" s="191"/>
      <c r="E79" s="191"/>
      <c r="F79" s="191"/>
      <c r="G79" s="191"/>
      <c r="H79" s="191"/>
      <c r="I79" s="191"/>
      <c r="J79" s="191"/>
      <c r="K79" s="220"/>
      <c r="L79" s="220"/>
      <c r="M79" s="201"/>
    </row>
    <row r="80" spans="1:13" s="187" customFormat="1" ht="30.75" customHeight="1">
      <c r="A80" s="51" t="s">
        <v>5</v>
      </c>
      <c r="B80" s="51" t="s">
        <v>1</v>
      </c>
      <c r="C80" s="51" t="s">
        <v>3</v>
      </c>
      <c r="D80" s="51" t="s">
        <v>120</v>
      </c>
      <c r="E80" s="52" t="s">
        <v>90</v>
      </c>
      <c r="F80" s="52" t="s">
        <v>91</v>
      </c>
      <c r="G80" s="52" t="s">
        <v>143</v>
      </c>
      <c r="H80" s="52" t="s">
        <v>144</v>
      </c>
      <c r="I80" s="52" t="s">
        <v>159</v>
      </c>
      <c r="J80" s="52" t="s">
        <v>119</v>
      </c>
      <c r="K80" s="402" t="s">
        <v>129</v>
      </c>
      <c r="L80" s="403"/>
      <c r="M80" s="215" t="s">
        <v>13</v>
      </c>
    </row>
    <row r="81" spans="1:14" ht="15" customHeight="1">
      <c r="A81" s="357"/>
      <c r="B81" s="358"/>
      <c r="C81" s="359"/>
      <c r="D81" s="137">
        <v>1</v>
      </c>
      <c r="E81" s="137">
        <v>1</v>
      </c>
      <c r="F81" s="137"/>
      <c r="G81" s="221">
        <v>1</v>
      </c>
      <c r="H81" s="137"/>
      <c r="I81" s="137"/>
      <c r="J81" s="137">
        <v>1937</v>
      </c>
      <c r="K81" s="216">
        <v>40909</v>
      </c>
      <c r="L81" s="216">
        <v>40999</v>
      </c>
      <c r="M81" s="217">
        <v>2574.65</v>
      </c>
      <c r="N81" s="126"/>
    </row>
    <row r="82" spans="1:13" ht="15" customHeight="1">
      <c r="A82" s="357"/>
      <c r="B82" s="358"/>
      <c r="C82" s="359"/>
      <c r="D82" s="137">
        <v>1</v>
      </c>
      <c r="E82" s="137"/>
      <c r="F82" s="137">
        <v>1</v>
      </c>
      <c r="G82" s="221">
        <v>1</v>
      </c>
      <c r="H82" s="137"/>
      <c r="I82" s="137"/>
      <c r="J82" s="137">
        <v>1927</v>
      </c>
      <c r="K82" s="216">
        <v>40909</v>
      </c>
      <c r="L82" s="216">
        <v>40968</v>
      </c>
      <c r="M82" s="217">
        <v>0</v>
      </c>
    </row>
    <row r="83" spans="1:13" ht="15" customHeight="1">
      <c r="A83" s="357"/>
      <c r="B83" s="358"/>
      <c r="C83" s="359"/>
      <c r="D83" s="137">
        <v>1</v>
      </c>
      <c r="E83" s="137"/>
      <c r="F83" s="137">
        <v>1</v>
      </c>
      <c r="G83" s="221">
        <v>1</v>
      </c>
      <c r="H83" s="137"/>
      <c r="I83" s="137"/>
      <c r="J83" s="137">
        <v>1930</v>
      </c>
      <c r="K83" s="216">
        <v>40909</v>
      </c>
      <c r="L83" s="216">
        <v>41274</v>
      </c>
      <c r="M83" s="195">
        <v>0</v>
      </c>
    </row>
    <row r="84" spans="1:13" ht="15" customHeight="1">
      <c r="A84" s="357"/>
      <c r="B84" s="358"/>
      <c r="C84" s="359"/>
      <c r="D84" s="137">
        <v>1</v>
      </c>
      <c r="E84" s="137">
        <v>1</v>
      </c>
      <c r="F84" s="137"/>
      <c r="G84" s="221">
        <v>1</v>
      </c>
      <c r="H84" s="137"/>
      <c r="I84" s="137"/>
      <c r="J84" s="137">
        <v>1945</v>
      </c>
      <c r="K84" s="216">
        <v>40909</v>
      </c>
      <c r="L84" s="216">
        <v>41274</v>
      </c>
      <c r="M84" s="217">
        <v>3030.28</v>
      </c>
    </row>
    <row r="85" spans="1:13" ht="15" customHeight="1">
      <c r="A85" s="357"/>
      <c r="B85" s="358"/>
      <c r="C85" s="359"/>
      <c r="D85" s="137">
        <v>1</v>
      </c>
      <c r="E85" s="137"/>
      <c r="F85" s="137">
        <v>1</v>
      </c>
      <c r="G85" s="221">
        <v>1</v>
      </c>
      <c r="H85" s="137"/>
      <c r="I85" s="137"/>
      <c r="J85" s="137">
        <v>1938</v>
      </c>
      <c r="K85" s="216">
        <v>40909</v>
      </c>
      <c r="L85" s="216">
        <v>41274</v>
      </c>
      <c r="M85" s="217">
        <v>2045</v>
      </c>
    </row>
    <row r="86" spans="1:13" ht="15" customHeight="1">
      <c r="A86" s="357"/>
      <c r="B86" s="358"/>
      <c r="C86" s="359"/>
      <c r="D86" s="137">
        <v>1</v>
      </c>
      <c r="E86" s="137">
        <v>1</v>
      </c>
      <c r="F86" s="137"/>
      <c r="G86" s="221">
        <v>1</v>
      </c>
      <c r="H86" s="137"/>
      <c r="I86" s="137"/>
      <c r="J86" s="137">
        <v>1941</v>
      </c>
      <c r="K86" s="216">
        <v>41164</v>
      </c>
      <c r="L86" s="216">
        <v>41274</v>
      </c>
      <c r="M86" s="195">
        <v>1085</v>
      </c>
    </row>
    <row r="87" spans="1:13" ht="15" customHeight="1">
      <c r="A87" s="357"/>
      <c r="B87" s="358"/>
      <c r="C87" s="359"/>
      <c r="D87" s="137">
        <v>1</v>
      </c>
      <c r="E87" s="137"/>
      <c r="F87" s="137">
        <v>1</v>
      </c>
      <c r="G87" s="221">
        <v>1</v>
      </c>
      <c r="H87" s="137"/>
      <c r="I87" s="137"/>
      <c r="J87" s="137">
        <v>1939</v>
      </c>
      <c r="K87" s="216">
        <v>40909</v>
      </c>
      <c r="L87" s="216">
        <v>41274</v>
      </c>
      <c r="M87" s="195">
        <v>7752.48</v>
      </c>
    </row>
    <row r="88" spans="1:13" ht="15" customHeight="1">
      <c r="A88" s="357"/>
      <c r="B88" s="358"/>
      <c r="C88" s="359"/>
      <c r="D88" s="137">
        <v>1</v>
      </c>
      <c r="E88" s="137">
        <v>1</v>
      </c>
      <c r="F88" s="137"/>
      <c r="G88" s="221">
        <v>1</v>
      </c>
      <c r="H88" s="137"/>
      <c r="I88" s="137"/>
      <c r="J88" s="137">
        <v>1929</v>
      </c>
      <c r="K88" s="216">
        <v>40909</v>
      </c>
      <c r="L88" s="216">
        <v>41274</v>
      </c>
      <c r="M88" s="217">
        <v>6449.64</v>
      </c>
    </row>
    <row r="89" spans="1:13" ht="15" customHeight="1">
      <c r="A89" s="357"/>
      <c r="B89" s="358"/>
      <c r="C89" s="359"/>
      <c r="D89" s="137">
        <v>1</v>
      </c>
      <c r="E89" s="137"/>
      <c r="F89" s="137">
        <v>1</v>
      </c>
      <c r="G89" s="221">
        <v>1</v>
      </c>
      <c r="H89" s="137"/>
      <c r="I89" s="137"/>
      <c r="J89" s="137">
        <v>1938</v>
      </c>
      <c r="K89" s="216">
        <v>40909</v>
      </c>
      <c r="L89" s="216">
        <v>41274</v>
      </c>
      <c r="M89" s="217">
        <v>7974.12</v>
      </c>
    </row>
    <row r="90" spans="1:13" ht="15" customHeight="1">
      <c r="A90" s="357"/>
      <c r="B90" s="358"/>
      <c r="C90" s="359"/>
      <c r="D90" s="137">
        <v>1</v>
      </c>
      <c r="E90" s="137"/>
      <c r="F90" s="137">
        <v>1</v>
      </c>
      <c r="G90" s="221">
        <v>1</v>
      </c>
      <c r="H90" s="137"/>
      <c r="I90" s="137"/>
      <c r="J90" s="137">
        <v>1932</v>
      </c>
      <c r="K90" s="216">
        <v>41229</v>
      </c>
      <c r="L90" s="216">
        <v>41274</v>
      </c>
      <c r="M90" s="217">
        <v>209.78</v>
      </c>
    </row>
    <row r="91" spans="1:13" ht="15" customHeight="1">
      <c r="A91" s="357"/>
      <c r="B91" s="358"/>
      <c r="C91" s="359"/>
      <c r="D91" s="137">
        <v>1</v>
      </c>
      <c r="E91" s="137">
        <v>1</v>
      </c>
      <c r="F91" s="137"/>
      <c r="G91" s="221">
        <v>1</v>
      </c>
      <c r="H91" s="137"/>
      <c r="I91" s="137"/>
      <c r="J91" s="137">
        <v>1927</v>
      </c>
      <c r="K91" s="216">
        <v>40909</v>
      </c>
      <c r="L91" s="216">
        <v>41274</v>
      </c>
      <c r="M91" s="217">
        <v>3845.38</v>
      </c>
    </row>
    <row r="92" spans="1:13" ht="15" customHeight="1">
      <c r="A92" s="357"/>
      <c r="B92" s="358"/>
      <c r="C92" s="359"/>
      <c r="D92" s="137">
        <v>1</v>
      </c>
      <c r="E92" s="137"/>
      <c r="F92" s="137">
        <v>1</v>
      </c>
      <c r="G92" s="221">
        <v>1</v>
      </c>
      <c r="H92" s="137"/>
      <c r="I92" s="137"/>
      <c r="J92" s="137">
        <v>1941</v>
      </c>
      <c r="K92" s="216">
        <v>40940</v>
      </c>
      <c r="L92" s="216">
        <v>40999</v>
      </c>
      <c r="M92" s="217">
        <v>495</v>
      </c>
    </row>
    <row r="93" spans="1:13" ht="15" customHeight="1">
      <c r="A93" s="400" t="s">
        <v>100</v>
      </c>
      <c r="B93" s="400"/>
      <c r="C93" s="143"/>
      <c r="D93" s="143">
        <f>SUM(D81:D92)</f>
        <v>12</v>
      </c>
      <c r="E93" s="143">
        <f>SUM(E81:E92)</f>
        <v>5</v>
      </c>
      <c r="F93" s="143">
        <f>SUM(F81:F92)</f>
        <v>7</v>
      </c>
      <c r="G93" s="143">
        <f>SUM(G81:G92)</f>
        <v>12</v>
      </c>
      <c r="H93" s="143">
        <v>0</v>
      </c>
      <c r="I93" s="143"/>
      <c r="J93" s="143"/>
      <c r="K93" s="218"/>
      <c r="L93" s="218"/>
      <c r="M93" s="144">
        <f>SUM(M81:M92)</f>
        <v>35461.329999999994</v>
      </c>
    </row>
    <row r="94" spans="1:13" ht="15" customHeight="1">
      <c r="A94" s="398" t="s">
        <v>112</v>
      </c>
      <c r="B94" s="398"/>
      <c r="C94" s="181"/>
      <c r="D94" s="222">
        <f>D39+D73+D93+D8+D52+D47+D78</f>
        <v>64</v>
      </c>
      <c r="E94" s="222">
        <f>E39+E73+E93+E8+E52+E47+E78</f>
        <v>26</v>
      </c>
      <c r="F94" s="222">
        <f>F39+F73+F93+F8+F52+F47+F78</f>
        <v>37</v>
      </c>
      <c r="G94" s="222">
        <f>G39+G73+G93+G8+G52+G47+G78</f>
        <v>61</v>
      </c>
      <c r="H94" s="222">
        <f>H39+H73+H93+H8+H52+H47+H78</f>
        <v>1</v>
      </c>
      <c r="I94" s="222"/>
      <c r="J94" s="181"/>
      <c r="K94" s="223"/>
      <c r="L94" s="223"/>
      <c r="M94" s="205">
        <f>M39+M73+M93+M8+M52+M47+M78</f>
        <v>233686.13700000002</v>
      </c>
    </row>
    <row r="95" spans="6:9" ht="15" customHeight="1">
      <c r="F95" s="57"/>
      <c r="G95" s="57"/>
      <c r="H95" s="57"/>
      <c r="I95" s="57"/>
    </row>
    <row r="96" spans="6:9" ht="15" customHeight="1">
      <c r="F96" s="57"/>
      <c r="G96" s="57"/>
      <c r="H96" s="57"/>
      <c r="I96" s="57"/>
    </row>
    <row r="97" spans="6:9" ht="15" customHeight="1">
      <c r="F97" s="57"/>
      <c r="G97" s="57"/>
      <c r="H97" s="57"/>
      <c r="I97" s="57"/>
    </row>
    <row r="98" spans="6:9" ht="15" customHeight="1">
      <c r="F98" s="57"/>
      <c r="G98" s="57"/>
      <c r="H98" s="57"/>
      <c r="I98" s="57"/>
    </row>
    <row r="99" spans="6:9" ht="15" customHeight="1">
      <c r="F99" s="57"/>
      <c r="G99" s="57"/>
      <c r="H99" s="57"/>
      <c r="I99" s="57"/>
    </row>
    <row r="100" spans="6:9" ht="15" customHeight="1">
      <c r="F100" s="57"/>
      <c r="G100" s="57"/>
      <c r="H100" s="57"/>
      <c r="I100" s="57"/>
    </row>
    <row r="101" spans="6:9" ht="12.75">
      <c r="F101" s="57"/>
      <c r="G101" s="57"/>
      <c r="H101" s="57"/>
      <c r="I101" s="57"/>
    </row>
    <row r="102" spans="6:9" ht="12.75">
      <c r="F102" s="57"/>
      <c r="G102" s="57"/>
      <c r="H102" s="57"/>
      <c r="I102" s="57"/>
    </row>
    <row r="103" spans="6:9" ht="12.75">
      <c r="F103" s="57"/>
      <c r="G103" s="57"/>
      <c r="H103" s="57"/>
      <c r="I103" s="57"/>
    </row>
    <row r="104" spans="6:9" ht="12.75">
      <c r="F104" s="57"/>
      <c r="G104" s="57"/>
      <c r="H104" s="57"/>
      <c r="I104" s="57"/>
    </row>
    <row r="105" spans="6:9" ht="12.75">
      <c r="F105" s="57"/>
      <c r="G105" s="57"/>
      <c r="H105" s="57"/>
      <c r="I105" s="57"/>
    </row>
    <row r="106" spans="6:9" ht="12.75">
      <c r="F106" s="57"/>
      <c r="G106" s="57"/>
      <c r="H106" s="57"/>
      <c r="I106" s="57"/>
    </row>
    <row r="107" spans="6:9" ht="12.75">
      <c r="F107" s="57"/>
      <c r="G107" s="57"/>
      <c r="H107" s="57"/>
      <c r="I107" s="57"/>
    </row>
    <row r="108" spans="6:9" ht="12.75">
      <c r="F108" s="57"/>
      <c r="G108" s="57"/>
      <c r="H108" s="57"/>
      <c r="I108" s="57"/>
    </row>
    <row r="109" spans="6:9" ht="12.75">
      <c r="F109" s="57"/>
      <c r="G109" s="57"/>
      <c r="H109" s="57"/>
      <c r="I109" s="57"/>
    </row>
    <row r="110" spans="6:9" ht="12.75">
      <c r="F110" s="57"/>
      <c r="G110" s="57"/>
      <c r="H110" s="57"/>
      <c r="I110" s="57"/>
    </row>
    <row r="111" spans="6:9" ht="12.75">
      <c r="F111" s="57"/>
      <c r="G111" s="57"/>
      <c r="H111" s="57"/>
      <c r="I111" s="57"/>
    </row>
    <row r="112" spans="6:9" ht="12.75">
      <c r="F112" s="57"/>
      <c r="G112" s="57"/>
      <c r="H112" s="57"/>
      <c r="I112" s="57"/>
    </row>
    <row r="113" spans="6:9" ht="12.75">
      <c r="F113" s="57"/>
      <c r="G113" s="57"/>
      <c r="H113" s="57"/>
      <c r="I113" s="57"/>
    </row>
    <row r="114" spans="6:9" ht="12.75">
      <c r="F114" s="57"/>
      <c r="G114" s="57"/>
      <c r="H114" s="57"/>
      <c r="I114" s="57"/>
    </row>
    <row r="115" spans="6:9" ht="12.75">
      <c r="F115" s="57"/>
      <c r="G115" s="57"/>
      <c r="H115" s="57"/>
      <c r="I115" s="57"/>
    </row>
    <row r="116" spans="6:9" ht="12.75">
      <c r="F116" s="57"/>
      <c r="G116" s="57"/>
      <c r="H116" s="57"/>
      <c r="I116" s="57"/>
    </row>
    <row r="117" spans="6:9" ht="12.75">
      <c r="F117" s="57"/>
      <c r="G117" s="57"/>
      <c r="H117" s="57"/>
      <c r="I117" s="57"/>
    </row>
    <row r="118" spans="6:9" ht="12.75">
      <c r="F118" s="57"/>
      <c r="G118" s="57"/>
      <c r="H118" s="57"/>
      <c r="I118" s="57"/>
    </row>
    <row r="119" spans="6:9" ht="12.75">
      <c r="F119" s="57"/>
      <c r="G119" s="57"/>
      <c r="H119" s="57"/>
      <c r="I119" s="57"/>
    </row>
    <row r="120" spans="6:9" ht="12.75">
      <c r="F120" s="57"/>
      <c r="G120" s="57"/>
      <c r="H120" s="57"/>
      <c r="I120" s="57"/>
    </row>
    <row r="121" spans="6:9" ht="12.75">
      <c r="F121" s="57"/>
      <c r="G121" s="57"/>
      <c r="H121" s="57"/>
      <c r="I121" s="57"/>
    </row>
    <row r="122" spans="6:9" ht="12.75">
      <c r="F122" s="57"/>
      <c r="G122" s="57"/>
      <c r="H122" s="57"/>
      <c r="I122" s="57"/>
    </row>
    <row r="123" spans="6:9" ht="12.75">
      <c r="F123" s="57"/>
      <c r="G123" s="57"/>
      <c r="H123" s="57"/>
      <c r="I123" s="57"/>
    </row>
    <row r="124" spans="6:9" ht="12.75">
      <c r="F124" s="57"/>
      <c r="G124" s="57"/>
      <c r="H124" s="57"/>
      <c r="I124" s="57"/>
    </row>
    <row r="125" spans="6:9" ht="12.75">
      <c r="F125" s="57"/>
      <c r="G125" s="57"/>
      <c r="H125" s="57"/>
      <c r="I125" s="57"/>
    </row>
    <row r="126" spans="6:9" ht="12.75">
      <c r="F126" s="57"/>
      <c r="G126" s="57"/>
      <c r="H126" s="57"/>
      <c r="I126" s="57"/>
    </row>
    <row r="127" spans="6:9" ht="12.75">
      <c r="F127" s="57"/>
      <c r="G127" s="57"/>
      <c r="H127" s="57"/>
      <c r="I127" s="57"/>
    </row>
    <row r="128" spans="6:9" ht="12.75">
      <c r="F128" s="57"/>
      <c r="G128" s="57"/>
      <c r="H128" s="57"/>
      <c r="I128" s="57"/>
    </row>
    <row r="129" spans="6:9" ht="12.75">
      <c r="F129" s="57"/>
      <c r="G129" s="57"/>
      <c r="H129" s="57"/>
      <c r="I129" s="57"/>
    </row>
    <row r="130" spans="6:9" ht="12.75">
      <c r="F130" s="57"/>
      <c r="G130" s="57"/>
      <c r="H130" s="57"/>
      <c r="I130" s="57"/>
    </row>
    <row r="131" spans="6:9" ht="12.75">
      <c r="F131" s="57"/>
      <c r="G131" s="57"/>
      <c r="H131" s="57"/>
      <c r="I131" s="57"/>
    </row>
    <row r="132" spans="6:9" ht="12.75">
      <c r="F132" s="57"/>
      <c r="G132" s="57"/>
      <c r="H132" s="57"/>
      <c r="I132" s="57"/>
    </row>
    <row r="133" spans="6:9" ht="12.75">
      <c r="F133" s="57"/>
      <c r="G133" s="57"/>
      <c r="H133" s="57"/>
      <c r="I133" s="57"/>
    </row>
    <row r="134" spans="6:9" ht="12.75">
      <c r="F134" s="57"/>
      <c r="G134" s="57"/>
      <c r="H134" s="57"/>
      <c r="I134" s="57"/>
    </row>
    <row r="135" spans="6:9" ht="12.75">
      <c r="F135" s="57"/>
      <c r="G135" s="57"/>
      <c r="H135" s="57"/>
      <c r="I135" s="57"/>
    </row>
    <row r="136" spans="6:9" ht="12.75">
      <c r="F136" s="57"/>
      <c r="G136" s="57"/>
      <c r="H136" s="57"/>
      <c r="I136" s="57"/>
    </row>
    <row r="137" spans="6:9" ht="12.75">
      <c r="F137" s="57"/>
      <c r="G137" s="57"/>
      <c r="H137" s="57"/>
      <c r="I137" s="57"/>
    </row>
    <row r="138" spans="6:9" ht="12.75">
      <c r="F138" s="57"/>
      <c r="G138" s="57"/>
      <c r="H138" s="57"/>
      <c r="I138" s="57"/>
    </row>
    <row r="139" spans="6:9" ht="12.75">
      <c r="F139" s="57"/>
      <c r="G139" s="57"/>
      <c r="H139" s="57"/>
      <c r="I139" s="57"/>
    </row>
    <row r="140" spans="6:9" ht="12.75">
      <c r="F140" s="57"/>
      <c r="G140" s="57"/>
      <c r="H140" s="57"/>
      <c r="I140" s="57"/>
    </row>
    <row r="141" spans="6:9" ht="12.75">
      <c r="F141" s="57"/>
      <c r="G141" s="57"/>
      <c r="H141" s="57"/>
      <c r="I141" s="57"/>
    </row>
    <row r="142" spans="6:9" ht="12.75">
      <c r="F142" s="57"/>
      <c r="G142" s="57"/>
      <c r="H142" s="57"/>
      <c r="I142" s="57"/>
    </row>
    <row r="143" spans="6:9" ht="12.75">
      <c r="F143" s="57"/>
      <c r="G143" s="57"/>
      <c r="H143" s="57"/>
      <c r="I143" s="57"/>
    </row>
    <row r="144" spans="6:9" ht="12.75">
      <c r="F144" s="57"/>
      <c r="G144" s="57"/>
      <c r="H144" s="57"/>
      <c r="I144" s="57"/>
    </row>
    <row r="145" spans="6:9" ht="12.75">
      <c r="F145" s="57"/>
      <c r="G145" s="57"/>
      <c r="H145" s="57"/>
      <c r="I145" s="57"/>
    </row>
    <row r="146" spans="6:9" ht="12.75">
      <c r="F146" s="57"/>
      <c r="G146" s="57"/>
      <c r="H146" s="57"/>
      <c r="I146" s="57"/>
    </row>
    <row r="147" spans="6:9" ht="12.75">
      <c r="F147" s="57"/>
      <c r="G147" s="57"/>
      <c r="H147" s="57"/>
      <c r="I147" s="57"/>
    </row>
    <row r="148" spans="6:9" ht="12.75">
      <c r="F148" s="57"/>
      <c r="G148" s="57"/>
      <c r="H148" s="57"/>
      <c r="I148" s="57"/>
    </row>
    <row r="149" spans="6:9" ht="12.75">
      <c r="F149" s="57"/>
      <c r="G149" s="57"/>
      <c r="H149" s="57"/>
      <c r="I149" s="57"/>
    </row>
    <row r="150" spans="6:9" ht="12.75">
      <c r="F150" s="57"/>
      <c r="G150" s="57"/>
      <c r="H150" s="57"/>
      <c r="I150" s="57"/>
    </row>
    <row r="151" spans="6:9" ht="12.75">
      <c r="F151" s="57"/>
      <c r="G151" s="57"/>
      <c r="H151" s="57"/>
      <c r="I151" s="57"/>
    </row>
    <row r="152" spans="6:9" ht="12.75">
      <c r="F152" s="57"/>
      <c r="G152" s="57"/>
      <c r="H152" s="57"/>
      <c r="I152" s="57"/>
    </row>
    <row r="153" spans="6:9" ht="12.75">
      <c r="F153" s="57"/>
      <c r="G153" s="57"/>
      <c r="H153" s="57"/>
      <c r="I153" s="57"/>
    </row>
    <row r="154" spans="6:9" ht="12.75">
      <c r="F154" s="57"/>
      <c r="G154" s="57"/>
      <c r="H154" s="57"/>
      <c r="I154" s="57"/>
    </row>
    <row r="155" spans="6:9" ht="12.75">
      <c r="F155" s="57"/>
      <c r="G155" s="57"/>
      <c r="H155" s="57"/>
      <c r="I155" s="57"/>
    </row>
    <row r="156" spans="6:9" ht="12.75">
      <c r="F156" s="57"/>
      <c r="G156" s="57"/>
      <c r="H156" s="57"/>
      <c r="I156" s="57"/>
    </row>
    <row r="157" spans="6:9" ht="12.75">
      <c r="F157" s="57"/>
      <c r="G157" s="57"/>
      <c r="H157" s="57"/>
      <c r="I157" s="57"/>
    </row>
    <row r="158" spans="6:9" ht="12.75">
      <c r="F158" s="57"/>
      <c r="G158" s="57"/>
      <c r="H158" s="57"/>
      <c r="I158" s="57"/>
    </row>
    <row r="159" spans="6:9" ht="12.75">
      <c r="F159" s="57"/>
      <c r="G159" s="57"/>
      <c r="H159" s="57"/>
      <c r="I159" s="57"/>
    </row>
    <row r="160" spans="6:9" ht="12.75">
      <c r="F160" s="57"/>
      <c r="G160" s="57"/>
      <c r="H160" s="57"/>
      <c r="I160" s="57"/>
    </row>
    <row r="161" spans="6:9" ht="12.75">
      <c r="F161" s="57"/>
      <c r="G161" s="57"/>
      <c r="H161" s="57"/>
      <c r="I161" s="57"/>
    </row>
    <row r="162" spans="6:9" ht="12.75">
      <c r="F162" s="57"/>
      <c r="G162" s="57"/>
      <c r="H162" s="57"/>
      <c r="I162" s="57"/>
    </row>
    <row r="163" spans="6:9" ht="12.75">
      <c r="F163" s="57"/>
      <c r="G163" s="57"/>
      <c r="H163" s="57"/>
      <c r="I163" s="57"/>
    </row>
    <row r="164" spans="6:9" ht="12.75">
      <c r="F164" s="57"/>
      <c r="G164" s="57"/>
      <c r="H164" s="57"/>
      <c r="I164" s="57"/>
    </row>
    <row r="165" spans="6:9" ht="12.75">
      <c r="F165" s="57"/>
      <c r="G165" s="57"/>
      <c r="H165" s="57"/>
      <c r="I165" s="57"/>
    </row>
    <row r="166" spans="6:9" ht="12.75">
      <c r="F166" s="57"/>
      <c r="G166" s="57"/>
      <c r="H166" s="57"/>
      <c r="I166" s="57"/>
    </row>
    <row r="167" spans="6:9" ht="12.75">
      <c r="F167" s="57"/>
      <c r="G167" s="57"/>
      <c r="H167" s="57"/>
      <c r="I167" s="57"/>
    </row>
    <row r="168" spans="6:9" ht="12.75">
      <c r="F168" s="57"/>
      <c r="G168" s="57"/>
      <c r="H168" s="57"/>
      <c r="I168" s="57"/>
    </row>
    <row r="169" spans="6:9" ht="12.75">
      <c r="F169" s="57"/>
      <c r="G169" s="57"/>
      <c r="H169" s="57"/>
      <c r="I169" s="57"/>
    </row>
    <row r="170" spans="6:9" ht="12.75">
      <c r="F170" s="57"/>
      <c r="G170" s="57"/>
      <c r="H170" s="57"/>
      <c r="I170" s="57"/>
    </row>
    <row r="171" spans="6:9" ht="12.75">
      <c r="F171" s="57"/>
      <c r="G171" s="57"/>
      <c r="H171" s="57"/>
      <c r="I171" s="57"/>
    </row>
    <row r="172" spans="6:9" ht="12.75">
      <c r="F172" s="57"/>
      <c r="G172" s="57"/>
      <c r="H172" s="57"/>
      <c r="I172" s="57"/>
    </row>
    <row r="173" spans="6:9" ht="12.75">
      <c r="F173" s="57"/>
      <c r="G173" s="57"/>
      <c r="H173" s="57"/>
      <c r="I173" s="57"/>
    </row>
    <row r="174" spans="6:9" ht="12.75">
      <c r="F174" s="57"/>
      <c r="G174" s="57"/>
      <c r="H174" s="57"/>
      <c r="I174" s="57"/>
    </row>
    <row r="175" spans="6:9" ht="12.75">
      <c r="F175" s="57"/>
      <c r="G175" s="57"/>
      <c r="H175" s="57"/>
      <c r="I175" s="57"/>
    </row>
    <row r="176" spans="6:9" ht="12.75">
      <c r="F176" s="57"/>
      <c r="G176" s="57"/>
      <c r="H176" s="57"/>
      <c r="I176" s="57"/>
    </row>
    <row r="177" spans="6:9" ht="12.75">
      <c r="F177" s="57"/>
      <c r="G177" s="57"/>
      <c r="H177" s="57"/>
      <c r="I177" s="57"/>
    </row>
    <row r="178" spans="6:9" ht="12.75">
      <c r="F178" s="57"/>
      <c r="G178" s="57"/>
      <c r="H178" s="57"/>
      <c r="I178" s="57"/>
    </row>
    <row r="179" spans="6:9" ht="12.75">
      <c r="F179" s="57"/>
      <c r="G179" s="57"/>
      <c r="H179" s="57"/>
      <c r="I179" s="57"/>
    </row>
    <row r="180" spans="6:9" ht="12.75">
      <c r="F180" s="57"/>
      <c r="G180" s="57"/>
      <c r="H180" s="57"/>
      <c r="I180" s="57"/>
    </row>
    <row r="181" spans="6:9" ht="12.75">
      <c r="F181" s="57"/>
      <c r="G181" s="57"/>
      <c r="H181" s="57"/>
      <c r="I181" s="57"/>
    </row>
    <row r="182" spans="6:9" ht="12.75">
      <c r="F182" s="57"/>
      <c r="G182" s="57"/>
      <c r="H182" s="57"/>
      <c r="I182" s="57"/>
    </row>
    <row r="183" spans="6:9" ht="12.75">
      <c r="F183" s="57"/>
      <c r="G183" s="57"/>
      <c r="H183" s="57"/>
      <c r="I183" s="57"/>
    </row>
    <row r="184" spans="6:9" ht="12.75">
      <c r="F184" s="57"/>
      <c r="G184" s="57"/>
      <c r="H184" s="57"/>
      <c r="I184" s="57"/>
    </row>
    <row r="185" spans="6:9" ht="12.75">
      <c r="F185" s="57"/>
      <c r="G185" s="57"/>
      <c r="H185" s="57"/>
      <c r="I185" s="57"/>
    </row>
    <row r="186" spans="6:9" ht="12.75">
      <c r="F186" s="57"/>
      <c r="G186" s="57"/>
      <c r="H186" s="57"/>
      <c r="I186" s="57"/>
    </row>
    <row r="187" spans="6:9" ht="12.75">
      <c r="F187" s="57"/>
      <c r="G187" s="57"/>
      <c r="H187" s="57"/>
      <c r="I187" s="57"/>
    </row>
    <row r="188" spans="6:9" ht="12.75">
      <c r="F188" s="57"/>
      <c r="G188" s="57"/>
      <c r="H188" s="57"/>
      <c r="I188" s="57"/>
    </row>
    <row r="189" spans="6:9" ht="12.75">
      <c r="F189" s="57"/>
      <c r="G189" s="57"/>
      <c r="H189" s="57"/>
      <c r="I189" s="57"/>
    </row>
    <row r="190" spans="6:9" ht="12.75">
      <c r="F190" s="57"/>
      <c r="G190" s="57"/>
      <c r="H190" s="57"/>
      <c r="I190" s="57"/>
    </row>
    <row r="191" spans="6:9" ht="12.75">
      <c r="F191" s="57"/>
      <c r="G191" s="57"/>
      <c r="H191" s="57"/>
      <c r="I191" s="57"/>
    </row>
    <row r="192" ht="12.75">
      <c r="G192" s="225"/>
    </row>
    <row r="193" spans="6:9" ht="12.75">
      <c r="F193" s="57"/>
      <c r="G193" s="57"/>
      <c r="H193" s="57"/>
      <c r="I193" s="57"/>
    </row>
    <row r="194" spans="6:9" ht="12.75">
      <c r="F194" s="57"/>
      <c r="G194" s="57"/>
      <c r="H194" s="57"/>
      <c r="I194" s="57"/>
    </row>
    <row r="195" spans="6:9" ht="12.75">
      <c r="F195" s="57"/>
      <c r="G195" s="57"/>
      <c r="H195" s="57"/>
      <c r="I195" s="57"/>
    </row>
    <row r="196" spans="6:9" ht="12.75">
      <c r="F196" s="57"/>
      <c r="G196" s="57"/>
      <c r="H196" s="57"/>
      <c r="I196" s="57"/>
    </row>
    <row r="197" spans="6:9" ht="12.75">
      <c r="F197" s="57"/>
      <c r="G197" s="57"/>
      <c r="H197" s="57"/>
      <c r="I197" s="57"/>
    </row>
    <row r="198" spans="6:9" ht="12.75">
      <c r="F198" s="57"/>
      <c r="G198" s="57"/>
      <c r="H198" s="57"/>
      <c r="I198" s="57"/>
    </row>
    <row r="199" spans="6:9" ht="12.75">
      <c r="F199" s="57"/>
      <c r="G199" s="57"/>
      <c r="H199" s="57"/>
      <c r="I199" s="57"/>
    </row>
    <row r="200" spans="6:9" ht="12.75">
      <c r="F200" s="57"/>
      <c r="G200" s="57"/>
      <c r="H200" s="57"/>
      <c r="I200" s="57"/>
    </row>
    <row r="201" spans="6:9" ht="12.75">
      <c r="F201" s="57"/>
      <c r="G201" s="57"/>
      <c r="H201" s="57"/>
      <c r="I201" s="57"/>
    </row>
    <row r="202" spans="6:9" ht="12.75">
      <c r="F202" s="57"/>
      <c r="G202" s="57"/>
      <c r="H202" s="57"/>
      <c r="I202" s="57"/>
    </row>
    <row r="203" spans="6:9" ht="12.75">
      <c r="F203" s="57"/>
      <c r="G203" s="57"/>
      <c r="H203" s="57"/>
      <c r="I203" s="57"/>
    </row>
    <row r="204" spans="6:9" ht="12.75">
      <c r="F204" s="57"/>
      <c r="G204" s="57"/>
      <c r="H204" s="57"/>
      <c r="I204" s="57"/>
    </row>
    <row r="205" spans="6:9" ht="12.75">
      <c r="F205" s="57"/>
      <c r="G205" s="57"/>
      <c r="H205" s="57"/>
      <c r="I205" s="57"/>
    </row>
    <row r="206" spans="6:9" ht="12.75">
      <c r="F206" s="57"/>
      <c r="G206" s="57"/>
      <c r="H206" s="57"/>
      <c r="I206" s="57"/>
    </row>
    <row r="207" spans="6:9" ht="12.75">
      <c r="F207" s="57"/>
      <c r="G207" s="57"/>
      <c r="H207" s="57"/>
      <c r="I207" s="57"/>
    </row>
    <row r="208" spans="6:9" ht="12.75">
      <c r="F208" s="57"/>
      <c r="G208" s="57"/>
      <c r="H208" s="57"/>
      <c r="I208" s="57"/>
    </row>
    <row r="209" spans="6:9" ht="12.75">
      <c r="F209" s="57"/>
      <c r="G209" s="57"/>
      <c r="H209" s="57"/>
      <c r="I209" s="57"/>
    </row>
    <row r="210" spans="6:9" ht="12.75">
      <c r="F210" s="57"/>
      <c r="G210" s="57"/>
      <c r="H210" s="57"/>
      <c r="I210" s="57"/>
    </row>
    <row r="211" spans="6:9" ht="12.75">
      <c r="F211" s="57"/>
      <c r="G211" s="57"/>
      <c r="H211" s="57"/>
      <c r="I211" s="57"/>
    </row>
    <row r="212" spans="6:9" ht="12.75">
      <c r="F212" s="57"/>
      <c r="G212" s="57"/>
      <c r="H212" s="57"/>
      <c r="I212" s="57"/>
    </row>
    <row r="213" spans="6:9" ht="12.75">
      <c r="F213" s="57"/>
      <c r="G213" s="57"/>
      <c r="H213" s="57"/>
      <c r="I213" s="57"/>
    </row>
    <row r="214" spans="6:9" ht="12.75">
      <c r="F214" s="57"/>
      <c r="G214" s="57"/>
      <c r="H214" s="57"/>
      <c r="I214" s="57"/>
    </row>
    <row r="215" spans="6:9" ht="12.75">
      <c r="F215" s="57"/>
      <c r="G215" s="57"/>
      <c r="H215" s="57"/>
      <c r="I215" s="57"/>
    </row>
    <row r="216" spans="6:9" ht="12.75">
      <c r="F216" s="57"/>
      <c r="G216" s="57"/>
      <c r="H216" s="57"/>
      <c r="I216" s="57"/>
    </row>
    <row r="217" spans="6:9" ht="12.75">
      <c r="F217" s="57"/>
      <c r="G217" s="57"/>
      <c r="H217" s="57"/>
      <c r="I217" s="57"/>
    </row>
    <row r="218" spans="6:9" ht="12.75">
      <c r="F218" s="57"/>
      <c r="G218" s="57"/>
      <c r="H218" s="57"/>
      <c r="I218" s="57"/>
    </row>
    <row r="219" spans="6:9" ht="12.75">
      <c r="F219" s="57"/>
      <c r="G219" s="57"/>
      <c r="H219" s="57"/>
      <c r="I219" s="57"/>
    </row>
    <row r="220" spans="6:9" ht="12.75">
      <c r="F220" s="57"/>
      <c r="G220" s="57"/>
      <c r="H220" s="57"/>
      <c r="I220" s="57"/>
    </row>
    <row r="221" spans="6:9" ht="12.75">
      <c r="F221" s="57"/>
      <c r="G221" s="57"/>
      <c r="H221" s="57"/>
      <c r="I221" s="57"/>
    </row>
    <row r="222" spans="6:9" ht="12.75">
      <c r="F222" s="57"/>
      <c r="G222" s="57"/>
      <c r="H222" s="57"/>
      <c r="I222" s="57"/>
    </row>
    <row r="223" spans="6:9" ht="12.75">
      <c r="F223" s="57"/>
      <c r="G223" s="57"/>
      <c r="H223" s="57"/>
      <c r="I223" s="57"/>
    </row>
    <row r="224" spans="6:9" ht="12.75">
      <c r="F224" s="57"/>
      <c r="G224" s="57"/>
      <c r="H224" s="57"/>
      <c r="I224" s="57"/>
    </row>
    <row r="225" spans="6:9" ht="12.75">
      <c r="F225" s="57"/>
      <c r="G225" s="57"/>
      <c r="H225" s="57"/>
      <c r="I225" s="57"/>
    </row>
    <row r="226" spans="6:9" ht="12.75">
      <c r="F226" s="57"/>
      <c r="G226" s="57"/>
      <c r="H226" s="57"/>
      <c r="I226" s="57"/>
    </row>
  </sheetData>
  <mergeCells count="31">
    <mergeCell ref="K80:L80"/>
    <mergeCell ref="K59:L59"/>
    <mergeCell ref="K41:L41"/>
    <mergeCell ref="K60:L60"/>
    <mergeCell ref="K49:L49"/>
    <mergeCell ref="K75:L75"/>
    <mergeCell ref="K54:L54"/>
    <mergeCell ref="K57:L57"/>
    <mergeCell ref="A9:B9"/>
    <mergeCell ref="A40:B40"/>
    <mergeCell ref="K4:L4"/>
    <mergeCell ref="K10:L10"/>
    <mergeCell ref="A39:B39"/>
    <mergeCell ref="A1:L1"/>
    <mergeCell ref="A2:M2"/>
    <mergeCell ref="A3:B3"/>
    <mergeCell ref="A8:B8"/>
    <mergeCell ref="A52:B52"/>
    <mergeCell ref="A59:B59"/>
    <mergeCell ref="A73:B73"/>
    <mergeCell ref="A47:B47"/>
    <mergeCell ref="A48:B48"/>
    <mergeCell ref="A53:B53"/>
    <mergeCell ref="A55:B55"/>
    <mergeCell ref="A56:B56"/>
    <mergeCell ref="A58:B58"/>
    <mergeCell ref="A93:B93"/>
    <mergeCell ref="A94:B94"/>
    <mergeCell ref="A74:B74"/>
    <mergeCell ref="A78:B78"/>
    <mergeCell ref="A79:B79"/>
  </mergeCells>
  <printOptions/>
  <pageMargins left="0.1968503937007874" right="0.1968503937007874" top="0.1968503937007874" bottom="0.1968503937007874" header="0.4330708661417323" footer="0.5118110236220472"/>
  <pageSetup horizontalDpi="600" verticalDpi="600" orientation="landscape" paperSize="9" scale="70"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sheetPr>
    <tabColor indexed="41"/>
  </sheetPr>
  <dimension ref="A1:J56"/>
  <sheetViews>
    <sheetView workbookViewId="0" topLeftCell="A28">
      <selection activeCell="A42" sqref="A42:C48"/>
    </sheetView>
  </sheetViews>
  <sheetFormatPr defaultColWidth="9.140625" defaultRowHeight="12.75"/>
  <cols>
    <col min="1" max="2" width="20.7109375" style="19" customWidth="1"/>
    <col min="3" max="3" width="20.7109375" style="20" customWidth="1"/>
    <col min="4" max="4" width="7.7109375" style="19" customWidth="1"/>
    <col min="5" max="6" width="5.7109375" style="20" customWidth="1"/>
    <col min="7" max="7" width="9.7109375" style="20" customWidth="1"/>
    <col min="8" max="8" width="9.7109375" style="19" customWidth="1"/>
    <col min="9" max="9" width="13.7109375" style="19" customWidth="1"/>
    <col min="10" max="10" width="10.140625" style="19" customWidth="1"/>
    <col min="11" max="16384" width="9.140625" style="14" customWidth="1"/>
  </cols>
  <sheetData>
    <row r="1" spans="1:10" ht="30" customHeight="1">
      <c r="A1" s="408" t="s">
        <v>69</v>
      </c>
      <c r="B1" s="408"/>
      <c r="C1" s="408"/>
      <c r="D1" s="408"/>
      <c r="E1" s="408"/>
      <c r="F1" s="408"/>
      <c r="G1" s="408"/>
      <c r="H1" s="408"/>
      <c r="I1" s="408"/>
      <c r="J1" s="408"/>
    </row>
    <row r="2" spans="1:10" ht="74.25" customHeight="1">
      <c r="A2" s="316" t="s">
        <v>63</v>
      </c>
      <c r="B2" s="316"/>
      <c r="C2" s="316"/>
      <c r="D2" s="316"/>
      <c r="E2" s="316"/>
      <c r="F2" s="316"/>
      <c r="G2" s="316"/>
      <c r="H2" s="316"/>
      <c r="I2" s="316"/>
      <c r="J2" s="316"/>
    </row>
    <row r="3" spans="1:10" ht="15" customHeight="1">
      <c r="A3" s="409" t="s">
        <v>77</v>
      </c>
      <c r="B3" s="410"/>
      <c r="C3" s="27"/>
      <c r="D3" s="27"/>
      <c r="E3" s="27"/>
      <c r="F3" s="27"/>
      <c r="G3" s="27"/>
      <c r="H3" s="27"/>
      <c r="I3" s="27"/>
      <c r="J3" s="27"/>
    </row>
    <row r="4" spans="1:10" ht="30" customHeight="1">
      <c r="A4" s="6" t="s">
        <v>5</v>
      </c>
      <c r="B4" s="6" t="s">
        <v>1</v>
      </c>
      <c r="C4" s="6" t="s">
        <v>3</v>
      </c>
      <c r="D4" s="6" t="s">
        <v>120</v>
      </c>
      <c r="E4" s="7" t="s">
        <v>90</v>
      </c>
      <c r="F4" s="7" t="s">
        <v>91</v>
      </c>
      <c r="G4" s="7" t="s">
        <v>143</v>
      </c>
      <c r="H4" s="7" t="s">
        <v>144</v>
      </c>
      <c r="I4" s="7" t="s">
        <v>159</v>
      </c>
      <c r="J4" s="7" t="s">
        <v>119</v>
      </c>
    </row>
    <row r="5" spans="1:10" s="40" customFormat="1" ht="15" customHeight="1">
      <c r="A5" s="316" t="s">
        <v>93</v>
      </c>
      <c r="B5" s="316"/>
      <c r="C5" s="30"/>
      <c r="D5" s="30">
        <v>0</v>
      </c>
      <c r="E5" s="30">
        <v>0</v>
      </c>
      <c r="F5" s="30">
        <v>0</v>
      </c>
      <c r="G5" s="30">
        <v>0</v>
      </c>
      <c r="H5" s="30"/>
      <c r="I5" s="30"/>
      <c r="J5" s="30"/>
    </row>
    <row r="6" spans="1:10" s="40" customFormat="1" ht="15" customHeight="1">
      <c r="A6" s="312" t="s">
        <v>78</v>
      </c>
      <c r="B6" s="312"/>
      <c r="C6" s="7"/>
      <c r="D6" s="7"/>
      <c r="E6" s="7"/>
      <c r="F6" s="7"/>
      <c r="G6" s="7"/>
      <c r="H6" s="7"/>
      <c r="I6" s="7"/>
      <c r="J6" s="7"/>
    </row>
    <row r="7" spans="1:10" ht="15" customHeight="1">
      <c r="A7" s="322"/>
      <c r="B7" s="322"/>
      <c r="C7" s="332"/>
      <c r="D7" s="15">
        <v>1</v>
      </c>
      <c r="E7" s="15"/>
      <c r="F7" s="15">
        <v>1</v>
      </c>
      <c r="G7" s="15">
        <v>1</v>
      </c>
      <c r="H7" s="15"/>
      <c r="I7" s="15"/>
      <c r="J7" s="15">
        <v>1924</v>
      </c>
    </row>
    <row r="8" spans="1:10" ht="15" customHeight="1">
      <c r="A8" s="322"/>
      <c r="B8" s="322"/>
      <c r="C8" s="332"/>
      <c r="D8" s="15">
        <v>1</v>
      </c>
      <c r="E8" s="15">
        <v>1</v>
      </c>
      <c r="F8" s="15"/>
      <c r="G8" s="15">
        <v>1</v>
      </c>
      <c r="H8" s="15"/>
      <c r="I8" s="15"/>
      <c r="J8" s="15">
        <v>1928</v>
      </c>
    </row>
    <row r="9" spans="1:10" ht="15" customHeight="1">
      <c r="A9" s="316" t="s">
        <v>94</v>
      </c>
      <c r="B9" s="316"/>
      <c r="C9" s="30"/>
      <c r="D9" s="30">
        <f>SUM(D7:D8)</f>
        <v>2</v>
      </c>
      <c r="E9" s="30">
        <f>SUM(E7:E8)</f>
        <v>1</v>
      </c>
      <c r="F9" s="30">
        <f>SUM(F7:F8)</f>
        <v>1</v>
      </c>
      <c r="G9" s="30">
        <f>SUM(G7:G8)</f>
        <v>2</v>
      </c>
      <c r="H9" s="30"/>
      <c r="I9" s="30"/>
      <c r="J9" s="30"/>
    </row>
    <row r="10" spans="1:10" ht="15" customHeight="1">
      <c r="A10" s="407" t="s">
        <v>79</v>
      </c>
      <c r="B10" s="407"/>
      <c r="C10" s="27"/>
      <c r="D10" s="27"/>
      <c r="E10" s="27"/>
      <c r="F10" s="27"/>
      <c r="G10" s="27"/>
      <c r="H10" s="27"/>
      <c r="I10" s="27"/>
      <c r="J10" s="27"/>
    </row>
    <row r="11" spans="1:10" s="40" customFormat="1" ht="30" customHeight="1">
      <c r="A11" s="6" t="s">
        <v>5</v>
      </c>
      <c r="B11" s="6" t="s">
        <v>1</v>
      </c>
      <c r="C11" s="6" t="s">
        <v>3</v>
      </c>
      <c r="D11" s="6" t="s">
        <v>120</v>
      </c>
      <c r="E11" s="7" t="s">
        <v>90</v>
      </c>
      <c r="F11" s="7" t="s">
        <v>91</v>
      </c>
      <c r="G11" s="7" t="s">
        <v>143</v>
      </c>
      <c r="H11" s="7" t="s">
        <v>144</v>
      </c>
      <c r="I11" s="7" t="s">
        <v>159</v>
      </c>
      <c r="J11" s="7" t="s">
        <v>119</v>
      </c>
    </row>
    <row r="12" spans="1:10" ht="15" customHeight="1">
      <c r="A12" s="316" t="s">
        <v>95</v>
      </c>
      <c r="B12" s="316"/>
      <c r="C12" s="30"/>
      <c r="D12" s="30">
        <v>0</v>
      </c>
      <c r="E12" s="30">
        <v>0</v>
      </c>
      <c r="F12" s="30">
        <v>0</v>
      </c>
      <c r="G12" s="30">
        <v>0</v>
      </c>
      <c r="H12" s="30"/>
      <c r="I12" s="30"/>
      <c r="J12" s="30"/>
    </row>
    <row r="13" spans="1:10" ht="15" customHeight="1">
      <c r="A13" s="407" t="s">
        <v>80</v>
      </c>
      <c r="B13" s="407"/>
      <c r="C13" s="27"/>
      <c r="D13" s="27"/>
      <c r="E13" s="27"/>
      <c r="F13" s="27"/>
      <c r="G13" s="27"/>
      <c r="H13" s="27"/>
      <c r="I13" s="27"/>
      <c r="J13" s="27"/>
    </row>
    <row r="14" spans="1:10" ht="30" customHeight="1">
      <c r="A14" s="6" t="s">
        <v>5</v>
      </c>
      <c r="B14" s="6" t="s">
        <v>1</v>
      </c>
      <c r="C14" s="6" t="s">
        <v>3</v>
      </c>
      <c r="D14" s="6" t="s">
        <v>120</v>
      </c>
      <c r="E14" s="7" t="s">
        <v>90</v>
      </c>
      <c r="F14" s="7" t="s">
        <v>91</v>
      </c>
      <c r="G14" s="7" t="s">
        <v>143</v>
      </c>
      <c r="H14" s="7" t="s">
        <v>144</v>
      </c>
      <c r="I14" s="7" t="s">
        <v>159</v>
      </c>
      <c r="J14" s="7" t="s">
        <v>119</v>
      </c>
    </row>
    <row r="15" spans="1:10" ht="15" customHeight="1">
      <c r="A15" s="316" t="s">
        <v>96</v>
      </c>
      <c r="B15" s="316"/>
      <c r="C15" s="30"/>
      <c r="D15" s="30">
        <v>0</v>
      </c>
      <c r="E15" s="30">
        <v>0</v>
      </c>
      <c r="F15" s="30">
        <v>0</v>
      </c>
      <c r="G15" s="30">
        <v>0</v>
      </c>
      <c r="H15" s="30"/>
      <c r="I15" s="30"/>
      <c r="J15" s="30"/>
    </row>
    <row r="16" spans="1:10" ht="15" customHeight="1">
      <c r="A16" s="407" t="s">
        <v>81</v>
      </c>
      <c r="B16" s="407"/>
      <c r="C16" s="27"/>
      <c r="D16" s="27"/>
      <c r="E16" s="27"/>
      <c r="F16" s="27"/>
      <c r="G16" s="27"/>
      <c r="H16" s="27"/>
      <c r="I16" s="27"/>
      <c r="J16" s="27"/>
    </row>
    <row r="17" spans="1:10" s="40" customFormat="1" ht="30" customHeight="1">
      <c r="A17" s="6" t="s">
        <v>5</v>
      </c>
      <c r="B17" s="6" t="s">
        <v>1</v>
      </c>
      <c r="C17" s="6" t="s">
        <v>3</v>
      </c>
      <c r="D17" s="6" t="s">
        <v>120</v>
      </c>
      <c r="E17" s="7" t="s">
        <v>90</v>
      </c>
      <c r="F17" s="7" t="s">
        <v>91</v>
      </c>
      <c r="G17" s="7" t="s">
        <v>143</v>
      </c>
      <c r="H17" s="7" t="s">
        <v>144</v>
      </c>
      <c r="I17" s="7" t="s">
        <v>159</v>
      </c>
      <c r="J17" s="7" t="s">
        <v>119</v>
      </c>
    </row>
    <row r="18" spans="1:10" ht="15" customHeight="1">
      <c r="A18" s="316" t="s">
        <v>97</v>
      </c>
      <c r="B18" s="316"/>
      <c r="C18" s="30"/>
      <c r="D18" s="30">
        <v>0</v>
      </c>
      <c r="E18" s="30">
        <v>0</v>
      </c>
      <c r="F18" s="30">
        <v>0</v>
      </c>
      <c r="G18" s="30">
        <v>0</v>
      </c>
      <c r="H18" s="30">
        <v>0</v>
      </c>
      <c r="I18" s="30"/>
      <c r="J18" s="30"/>
    </row>
    <row r="19" spans="1:10" ht="15" customHeight="1">
      <c r="A19" s="407" t="s">
        <v>82</v>
      </c>
      <c r="B19" s="407"/>
      <c r="C19" s="27"/>
      <c r="D19" s="27"/>
      <c r="E19" s="27"/>
      <c r="F19" s="27"/>
      <c r="G19" s="27"/>
      <c r="H19" s="27"/>
      <c r="I19" s="27"/>
      <c r="J19" s="27"/>
    </row>
    <row r="20" spans="1:10" s="40" customFormat="1" ht="30" customHeight="1">
      <c r="A20" s="6" t="s">
        <v>5</v>
      </c>
      <c r="B20" s="6" t="s">
        <v>1</v>
      </c>
      <c r="C20" s="6" t="s">
        <v>3</v>
      </c>
      <c r="D20" s="6" t="s">
        <v>120</v>
      </c>
      <c r="E20" s="7" t="s">
        <v>90</v>
      </c>
      <c r="F20" s="7" t="s">
        <v>91</v>
      </c>
      <c r="G20" s="7" t="s">
        <v>143</v>
      </c>
      <c r="H20" s="7" t="s">
        <v>144</v>
      </c>
      <c r="I20" s="7" t="s">
        <v>159</v>
      </c>
      <c r="J20" s="7" t="s">
        <v>119</v>
      </c>
    </row>
    <row r="21" spans="1:10" ht="15" customHeight="1">
      <c r="A21" s="316" t="s">
        <v>146</v>
      </c>
      <c r="B21" s="316"/>
      <c r="C21" s="30"/>
      <c r="D21" s="30">
        <v>0</v>
      </c>
      <c r="E21" s="30">
        <v>0</v>
      </c>
      <c r="F21" s="30">
        <v>0</v>
      </c>
      <c r="G21" s="30">
        <v>0</v>
      </c>
      <c r="H21" s="30">
        <v>0</v>
      </c>
      <c r="I21" s="30"/>
      <c r="J21" s="30"/>
    </row>
    <row r="22" spans="1:10" ht="15" customHeight="1">
      <c r="A22" s="407" t="s">
        <v>83</v>
      </c>
      <c r="B22" s="407"/>
      <c r="C22" s="27"/>
      <c r="D22" s="27"/>
      <c r="E22" s="27"/>
      <c r="F22" s="27"/>
      <c r="G22" s="27"/>
      <c r="H22" s="27"/>
      <c r="I22" s="27"/>
      <c r="J22" s="27"/>
    </row>
    <row r="23" spans="1:10" s="40" customFormat="1" ht="30" customHeight="1">
      <c r="A23" s="6" t="s">
        <v>5</v>
      </c>
      <c r="B23" s="6" t="s">
        <v>1</v>
      </c>
      <c r="C23" s="6" t="s">
        <v>3</v>
      </c>
      <c r="D23" s="6" t="s">
        <v>120</v>
      </c>
      <c r="E23" s="7" t="s">
        <v>90</v>
      </c>
      <c r="F23" s="7" t="s">
        <v>91</v>
      </c>
      <c r="G23" s="7" t="s">
        <v>143</v>
      </c>
      <c r="H23" s="7" t="s">
        <v>144</v>
      </c>
      <c r="I23" s="7" t="s">
        <v>159</v>
      </c>
      <c r="J23" s="7" t="s">
        <v>119</v>
      </c>
    </row>
    <row r="24" spans="1:10" s="16" customFormat="1" ht="15" customHeight="1">
      <c r="A24" s="322"/>
      <c r="B24" s="370"/>
      <c r="C24" s="332"/>
      <c r="D24" s="15">
        <v>1</v>
      </c>
      <c r="E24" s="15"/>
      <c r="F24" s="15">
        <v>1</v>
      </c>
      <c r="G24" s="15">
        <v>1</v>
      </c>
      <c r="H24" s="15"/>
      <c r="I24" s="15"/>
      <c r="J24" s="15">
        <v>1930</v>
      </c>
    </row>
    <row r="25" spans="1:10" s="38" customFormat="1" ht="15" customHeight="1">
      <c r="A25" s="322"/>
      <c r="B25" s="370"/>
      <c r="C25" s="332"/>
      <c r="D25" s="15">
        <v>1</v>
      </c>
      <c r="E25" s="15"/>
      <c r="F25" s="15">
        <v>1</v>
      </c>
      <c r="G25" s="15">
        <v>1</v>
      </c>
      <c r="H25" s="15"/>
      <c r="I25" s="15"/>
      <c r="J25" s="15">
        <v>1918</v>
      </c>
    </row>
    <row r="26" spans="1:10" s="1" customFormat="1" ht="15" customHeight="1">
      <c r="A26" s="346"/>
      <c r="B26" s="370"/>
      <c r="C26" s="332"/>
      <c r="D26" s="12">
        <v>1</v>
      </c>
      <c r="E26" s="12">
        <v>1</v>
      </c>
      <c r="F26" s="12"/>
      <c r="G26" s="12">
        <v>1</v>
      </c>
      <c r="H26" s="12"/>
      <c r="I26" s="12"/>
      <c r="J26" s="12">
        <v>1933</v>
      </c>
    </row>
    <row r="27" spans="1:10" s="16" customFormat="1" ht="15" customHeight="1">
      <c r="A27" s="346"/>
      <c r="B27" s="370"/>
      <c r="C27" s="332"/>
      <c r="D27" s="12">
        <v>1</v>
      </c>
      <c r="E27" s="12"/>
      <c r="F27" s="12">
        <v>1</v>
      </c>
      <c r="G27" s="12">
        <v>1</v>
      </c>
      <c r="H27" s="12"/>
      <c r="I27" s="12"/>
      <c r="J27" s="12">
        <v>1942</v>
      </c>
    </row>
    <row r="28" spans="1:10" s="16" customFormat="1" ht="15" customHeight="1">
      <c r="A28" s="322"/>
      <c r="B28" s="370"/>
      <c r="C28" s="332"/>
      <c r="D28" s="15">
        <v>1</v>
      </c>
      <c r="E28" s="15"/>
      <c r="F28" s="15">
        <v>1</v>
      </c>
      <c r="G28" s="15">
        <v>1</v>
      </c>
      <c r="H28" s="15"/>
      <c r="I28" s="15"/>
      <c r="J28" s="15">
        <v>1922</v>
      </c>
    </row>
    <row r="29" spans="1:10" s="16" customFormat="1" ht="15" customHeight="1">
      <c r="A29" s="322"/>
      <c r="B29" s="370"/>
      <c r="C29" s="332"/>
      <c r="D29" s="12">
        <v>1</v>
      </c>
      <c r="E29" s="12"/>
      <c r="F29" s="12">
        <v>1</v>
      </c>
      <c r="G29" s="12">
        <v>1</v>
      </c>
      <c r="H29" s="12"/>
      <c r="I29" s="12"/>
      <c r="J29" s="12">
        <v>1934</v>
      </c>
    </row>
    <row r="30" spans="1:10" s="16" customFormat="1" ht="15" customHeight="1">
      <c r="A30" s="370"/>
      <c r="B30" s="370"/>
      <c r="C30" s="332"/>
      <c r="D30" s="37">
        <v>1</v>
      </c>
      <c r="E30" s="37">
        <v>1</v>
      </c>
      <c r="F30" s="37"/>
      <c r="G30" s="37"/>
      <c r="H30" s="37">
        <v>1</v>
      </c>
      <c r="I30" s="13" t="s">
        <v>4</v>
      </c>
      <c r="J30" s="12">
        <v>1939</v>
      </c>
    </row>
    <row r="31" spans="1:10" s="16" customFormat="1" ht="15" customHeight="1">
      <c r="A31" s="322"/>
      <c r="B31" s="370"/>
      <c r="C31" s="332"/>
      <c r="D31" s="15">
        <v>1</v>
      </c>
      <c r="E31" s="15"/>
      <c r="F31" s="15">
        <v>1</v>
      </c>
      <c r="G31" s="15">
        <v>1</v>
      </c>
      <c r="H31" s="15"/>
      <c r="I31" s="15"/>
      <c r="J31" s="15">
        <v>1927</v>
      </c>
    </row>
    <row r="32" spans="1:10" s="16" customFormat="1" ht="15" customHeight="1">
      <c r="A32" s="322"/>
      <c r="B32" s="370"/>
      <c r="C32" s="332"/>
      <c r="D32" s="12">
        <v>1</v>
      </c>
      <c r="E32" s="12">
        <v>1</v>
      </c>
      <c r="F32" s="12"/>
      <c r="G32" s="12">
        <v>1</v>
      </c>
      <c r="H32" s="12"/>
      <c r="I32" s="12"/>
      <c r="J32" s="12">
        <v>1921</v>
      </c>
    </row>
    <row r="33" spans="1:10" s="16" customFormat="1" ht="15" customHeight="1">
      <c r="A33" s="322"/>
      <c r="B33" s="370"/>
      <c r="C33" s="332"/>
      <c r="D33" s="15">
        <v>1</v>
      </c>
      <c r="E33" s="15">
        <v>1</v>
      </c>
      <c r="F33" s="15"/>
      <c r="G33" s="15">
        <v>1</v>
      </c>
      <c r="H33" s="15"/>
      <c r="I33" s="15"/>
      <c r="J33" s="15">
        <v>1928</v>
      </c>
    </row>
    <row r="34" spans="1:10" s="16" customFormat="1" ht="15" customHeight="1">
      <c r="A34" s="316" t="s">
        <v>98</v>
      </c>
      <c r="B34" s="316"/>
      <c r="C34" s="30"/>
      <c r="D34" s="30">
        <f>SUM(D24:D33)</f>
        <v>10</v>
      </c>
      <c r="E34" s="30">
        <f>SUM(E24:E33)</f>
        <v>4</v>
      </c>
      <c r="F34" s="30">
        <f>SUM(F24:F33)</f>
        <v>6</v>
      </c>
      <c r="G34" s="30">
        <f>SUM(G24:G33)</f>
        <v>9</v>
      </c>
      <c r="H34" s="30">
        <f>SUM(H24:H33)</f>
        <v>1</v>
      </c>
      <c r="I34" s="30"/>
      <c r="J34" s="30"/>
    </row>
    <row r="35" spans="1:10" ht="15" customHeight="1">
      <c r="A35" s="407" t="s">
        <v>84</v>
      </c>
      <c r="B35" s="407"/>
      <c r="C35" s="27"/>
      <c r="D35" s="27"/>
      <c r="E35" s="27"/>
      <c r="F35" s="27"/>
      <c r="G35" s="27"/>
      <c r="H35" s="27"/>
      <c r="I35" s="27"/>
      <c r="J35" s="27"/>
    </row>
    <row r="36" spans="1:10" s="40" customFormat="1" ht="30" customHeight="1">
      <c r="A36" s="6" t="s">
        <v>5</v>
      </c>
      <c r="B36" s="6" t="s">
        <v>1</v>
      </c>
      <c r="C36" s="6" t="s">
        <v>3</v>
      </c>
      <c r="D36" s="6" t="s">
        <v>120</v>
      </c>
      <c r="E36" s="7" t="s">
        <v>90</v>
      </c>
      <c r="F36" s="7" t="s">
        <v>91</v>
      </c>
      <c r="G36" s="7" t="s">
        <v>143</v>
      </c>
      <c r="H36" s="7" t="s">
        <v>144</v>
      </c>
      <c r="I36" s="7" t="s">
        <v>159</v>
      </c>
      <c r="J36" s="7" t="s">
        <v>119</v>
      </c>
    </row>
    <row r="37" spans="1:10" s="16" customFormat="1" ht="15" customHeight="1">
      <c r="A37" s="322"/>
      <c r="B37" s="322"/>
      <c r="C37" s="332"/>
      <c r="D37" s="12">
        <v>1</v>
      </c>
      <c r="E37" s="12"/>
      <c r="F37" s="12">
        <v>1</v>
      </c>
      <c r="G37" s="12">
        <v>1</v>
      </c>
      <c r="H37" s="12"/>
      <c r="I37" s="12"/>
      <c r="J37" s="12">
        <v>1915</v>
      </c>
    </row>
    <row r="38" spans="1:10" s="16" customFormat="1" ht="15" customHeight="1">
      <c r="A38" s="322"/>
      <c r="B38" s="322"/>
      <c r="C38" s="332"/>
      <c r="D38" s="15">
        <v>1</v>
      </c>
      <c r="E38" s="15">
        <v>1</v>
      </c>
      <c r="F38" s="15"/>
      <c r="G38" s="15">
        <v>1</v>
      </c>
      <c r="H38" s="15"/>
      <c r="I38" s="15"/>
      <c r="J38" s="15">
        <v>1914</v>
      </c>
    </row>
    <row r="39" spans="1:10" s="16" customFormat="1" ht="15" customHeight="1">
      <c r="A39" s="316" t="s">
        <v>99</v>
      </c>
      <c r="B39" s="316"/>
      <c r="C39" s="30"/>
      <c r="D39" s="39">
        <f>SUM(D37:D38)</f>
        <v>2</v>
      </c>
      <c r="E39" s="39">
        <f>SUM(E37:E38)</f>
        <v>1</v>
      </c>
      <c r="F39" s="39">
        <f>SUM(F37:F38)</f>
        <v>1</v>
      </c>
      <c r="G39" s="39">
        <f>SUM(G37:G38)</f>
        <v>2</v>
      </c>
      <c r="H39" s="39">
        <f>SUM(H37:H38)</f>
        <v>0</v>
      </c>
      <c r="I39" s="30"/>
      <c r="J39" s="30"/>
    </row>
    <row r="40" spans="1:10" ht="15.75" customHeight="1">
      <c r="A40" s="407" t="s">
        <v>85</v>
      </c>
      <c r="B40" s="407"/>
      <c r="C40" s="27"/>
      <c r="D40" s="27"/>
      <c r="E40" s="27"/>
      <c r="F40" s="27"/>
      <c r="G40" s="27"/>
      <c r="H40" s="27"/>
      <c r="I40" s="27"/>
      <c r="J40" s="27"/>
    </row>
    <row r="41" spans="1:10" s="40" customFormat="1" ht="30" customHeight="1">
      <c r="A41" s="6" t="s">
        <v>5</v>
      </c>
      <c r="B41" s="6" t="s">
        <v>1</v>
      </c>
      <c r="C41" s="6" t="s">
        <v>3</v>
      </c>
      <c r="D41" s="6" t="s">
        <v>120</v>
      </c>
      <c r="E41" s="7" t="s">
        <v>90</v>
      </c>
      <c r="F41" s="7" t="s">
        <v>91</v>
      </c>
      <c r="G41" s="7" t="s">
        <v>143</v>
      </c>
      <c r="H41" s="7" t="s">
        <v>144</v>
      </c>
      <c r="I41" s="7" t="s">
        <v>159</v>
      </c>
      <c r="J41" s="7" t="s">
        <v>119</v>
      </c>
    </row>
    <row r="42" spans="1:10" s="16" customFormat="1" ht="15" customHeight="1">
      <c r="A42" s="322"/>
      <c r="B42" s="322"/>
      <c r="C42" s="332"/>
      <c r="D42" s="12">
        <v>1</v>
      </c>
      <c r="E42" s="12">
        <v>1</v>
      </c>
      <c r="F42" s="12"/>
      <c r="G42" s="31">
        <v>1</v>
      </c>
      <c r="H42" s="12"/>
      <c r="I42" s="12"/>
      <c r="J42" s="12">
        <v>1945</v>
      </c>
    </row>
    <row r="43" spans="1:10" s="16" customFormat="1" ht="15" customHeight="1">
      <c r="A43" s="322"/>
      <c r="B43" s="322"/>
      <c r="C43" s="332"/>
      <c r="D43" s="15">
        <v>1</v>
      </c>
      <c r="E43" s="15">
        <v>1</v>
      </c>
      <c r="F43" s="15"/>
      <c r="G43" s="15">
        <v>1</v>
      </c>
      <c r="H43" s="15"/>
      <c r="I43" s="15"/>
      <c r="J43" s="15">
        <v>1928</v>
      </c>
    </row>
    <row r="44" spans="1:10" s="16" customFormat="1" ht="15" customHeight="1">
      <c r="A44" s="322"/>
      <c r="B44" s="322"/>
      <c r="C44" s="332"/>
      <c r="D44" s="12">
        <v>1</v>
      </c>
      <c r="E44" s="12"/>
      <c r="F44" s="12">
        <v>1</v>
      </c>
      <c r="G44" s="31">
        <v>1</v>
      </c>
      <c r="H44" s="12"/>
      <c r="I44" s="12"/>
      <c r="J44" s="12">
        <v>1932</v>
      </c>
    </row>
    <row r="45" spans="1:10" s="16" customFormat="1" ht="15" customHeight="1">
      <c r="A45" s="322"/>
      <c r="B45" s="322"/>
      <c r="C45" s="332"/>
      <c r="D45" s="15">
        <v>1</v>
      </c>
      <c r="E45" s="32"/>
      <c r="F45" s="15">
        <v>1</v>
      </c>
      <c r="G45" s="15">
        <v>1</v>
      </c>
      <c r="H45" s="15"/>
      <c r="I45" s="15"/>
      <c r="J45" s="15">
        <v>1932</v>
      </c>
    </row>
    <row r="46" spans="1:10" s="16" customFormat="1" ht="15" customHeight="1">
      <c r="A46" s="322"/>
      <c r="B46" s="322"/>
      <c r="C46" s="332"/>
      <c r="D46" s="15">
        <v>1</v>
      </c>
      <c r="E46" s="32"/>
      <c r="F46" s="15">
        <v>1</v>
      </c>
      <c r="G46" s="15">
        <v>1</v>
      </c>
      <c r="H46" s="15"/>
      <c r="I46" s="15"/>
      <c r="J46" s="15">
        <v>1940</v>
      </c>
    </row>
    <row r="47" spans="1:10" s="16" customFormat="1" ht="15" customHeight="1">
      <c r="A47" s="322"/>
      <c r="B47" s="322"/>
      <c r="C47" s="332"/>
      <c r="D47" s="15">
        <v>1</v>
      </c>
      <c r="E47" s="15"/>
      <c r="F47" s="15">
        <v>1</v>
      </c>
      <c r="G47" s="15">
        <v>1</v>
      </c>
      <c r="H47" s="15"/>
      <c r="I47" s="15"/>
      <c r="J47" s="15">
        <v>1940</v>
      </c>
    </row>
    <row r="48" spans="1:10" s="16" customFormat="1" ht="15" customHeight="1">
      <c r="A48" s="322"/>
      <c r="B48" s="322"/>
      <c r="C48" s="332"/>
      <c r="D48" s="15">
        <v>1</v>
      </c>
      <c r="E48" s="15"/>
      <c r="F48" s="15">
        <v>1</v>
      </c>
      <c r="G48" s="15">
        <v>1</v>
      </c>
      <c r="H48" s="15"/>
      <c r="I48" s="15"/>
      <c r="J48" s="15">
        <v>1935</v>
      </c>
    </row>
    <row r="49" spans="1:10" s="16" customFormat="1" ht="15" customHeight="1">
      <c r="A49" s="316" t="s">
        <v>100</v>
      </c>
      <c r="B49" s="316"/>
      <c r="C49" s="30"/>
      <c r="D49" s="39">
        <f>SUM(D42:D48)</f>
        <v>7</v>
      </c>
      <c r="E49" s="39">
        <f>SUM(E42:E48)</f>
        <v>2</v>
      </c>
      <c r="F49" s="39">
        <f>SUM(F42:F48)</f>
        <v>5</v>
      </c>
      <c r="G49" s="39">
        <f>SUM(G42:G48)</f>
        <v>7</v>
      </c>
      <c r="H49" s="39">
        <f>SUM(H42:H48)</f>
        <v>0</v>
      </c>
      <c r="I49" s="30"/>
      <c r="J49" s="30"/>
    </row>
    <row r="50" spans="1:10" s="16" customFormat="1" ht="15" customHeight="1">
      <c r="A50" s="406" t="s">
        <v>112</v>
      </c>
      <c r="B50" s="406"/>
      <c r="C50" s="25"/>
      <c r="D50" s="25">
        <f>SUM(D9,D12,D18,D21,D34,D39,D49)</f>
        <v>21</v>
      </c>
      <c r="E50" s="25">
        <f>SUM(E9,E12,E18,E21,E34,E39,E49)</f>
        <v>8</v>
      </c>
      <c r="F50" s="25">
        <f>SUM(F9,F12,F18,F21,F34,F39,F49)</f>
        <v>13</v>
      </c>
      <c r="G50" s="25">
        <f>SUM(G9,G12,G18,G21,G34,G39,G49)</f>
        <v>20</v>
      </c>
      <c r="H50" s="25">
        <f>SUM(H9,H12,H18,H21,H34,H39,H49)</f>
        <v>1</v>
      </c>
      <c r="I50" s="25"/>
      <c r="J50" s="25"/>
    </row>
    <row r="51" spans="1:10" ht="12.75">
      <c r="A51" s="17"/>
      <c r="B51" s="17"/>
      <c r="C51" s="18"/>
      <c r="D51" s="17"/>
      <c r="E51" s="18"/>
      <c r="F51" s="18"/>
      <c r="G51" s="18"/>
      <c r="H51" s="17"/>
      <c r="I51" s="17"/>
      <c r="J51" s="17"/>
    </row>
    <row r="52" spans="1:10" ht="12.75">
      <c r="A52" s="17"/>
      <c r="B52" s="17"/>
      <c r="C52" s="18"/>
      <c r="D52" s="17"/>
      <c r="E52" s="18"/>
      <c r="F52" s="18"/>
      <c r="G52" s="18"/>
      <c r="H52" s="17"/>
      <c r="I52" s="17"/>
      <c r="J52" s="17"/>
    </row>
    <row r="53" spans="1:10" ht="12.75">
      <c r="A53" s="17"/>
      <c r="B53" s="17"/>
      <c r="C53" s="18"/>
      <c r="D53" s="17"/>
      <c r="E53" s="18"/>
      <c r="F53" s="18"/>
      <c r="G53" s="18"/>
      <c r="H53" s="17"/>
      <c r="I53" s="17"/>
      <c r="J53" s="17"/>
    </row>
    <row r="54" spans="1:10" ht="12.75">
      <c r="A54" s="17"/>
      <c r="B54" s="17"/>
      <c r="C54" s="18"/>
      <c r="D54" s="17"/>
      <c r="E54" s="18"/>
      <c r="F54" s="18"/>
      <c r="G54" s="18"/>
      <c r="H54" s="17"/>
      <c r="I54" s="17"/>
      <c r="J54" s="17"/>
    </row>
    <row r="55" spans="1:10" ht="12.75">
      <c r="A55" s="17"/>
      <c r="B55" s="17"/>
      <c r="C55" s="18"/>
      <c r="D55" s="17"/>
      <c r="E55" s="18"/>
      <c r="F55" s="18"/>
      <c r="G55" s="18"/>
      <c r="H55" s="17"/>
      <c r="I55" s="17"/>
      <c r="J55" s="17"/>
    </row>
    <row r="56" spans="1:10" ht="12.75">
      <c r="A56" s="17"/>
      <c r="B56" s="17"/>
      <c r="C56" s="18"/>
      <c r="D56" s="17"/>
      <c r="E56" s="18"/>
      <c r="F56" s="18"/>
      <c r="G56" s="18"/>
      <c r="H56" s="17"/>
      <c r="I56" s="17"/>
      <c r="J56" s="17"/>
    </row>
  </sheetData>
  <mergeCells count="21">
    <mergeCell ref="A1:J1"/>
    <mergeCell ref="A2:J2"/>
    <mergeCell ref="A6:B6"/>
    <mergeCell ref="A9:B9"/>
    <mergeCell ref="A5:B5"/>
    <mergeCell ref="A3:B3"/>
    <mergeCell ref="A10:B10"/>
    <mergeCell ref="A12:B12"/>
    <mergeCell ref="A16:B16"/>
    <mergeCell ref="A18:B18"/>
    <mergeCell ref="A13:B13"/>
    <mergeCell ref="A15:B15"/>
    <mergeCell ref="A39:B39"/>
    <mergeCell ref="A49:B49"/>
    <mergeCell ref="A50:B50"/>
    <mergeCell ref="A19:B19"/>
    <mergeCell ref="A21:B21"/>
    <mergeCell ref="A22:B22"/>
    <mergeCell ref="A34:B34"/>
    <mergeCell ref="A35:B35"/>
    <mergeCell ref="A40:B40"/>
  </mergeCell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57"/>
  </sheetPr>
  <dimension ref="A1:Q435"/>
  <sheetViews>
    <sheetView tabSelected="1" workbookViewId="0" topLeftCell="A116">
      <selection activeCell="A116" sqref="A116:IV137"/>
    </sheetView>
  </sheetViews>
  <sheetFormatPr defaultColWidth="9.140625" defaultRowHeight="12.75"/>
  <cols>
    <col min="1" max="2" width="20.7109375" style="44" customWidth="1"/>
    <col min="3" max="3" width="20.7109375" style="80" customWidth="1"/>
    <col min="4" max="4" width="7.7109375" style="44" customWidth="1"/>
    <col min="5" max="6" width="5.7109375" style="80" customWidth="1"/>
    <col min="7" max="8" width="9.7109375" style="44" customWidth="1"/>
    <col min="9" max="9" width="13.7109375" style="44" customWidth="1"/>
    <col min="10" max="10" width="10.140625" style="80" customWidth="1"/>
    <col min="11" max="12" width="12.7109375" style="80" customWidth="1"/>
    <col min="13" max="13" width="14.7109375" style="44" customWidth="1"/>
    <col min="14" max="14" width="20.7109375" style="44" customWidth="1"/>
    <col min="15" max="16384" width="9.140625" style="44" customWidth="1"/>
  </cols>
  <sheetData>
    <row r="1" spans="1:16" ht="30" customHeight="1">
      <c r="A1" s="314" t="s">
        <v>92</v>
      </c>
      <c r="B1" s="315"/>
      <c r="C1" s="315"/>
      <c r="D1" s="315"/>
      <c r="E1" s="315"/>
      <c r="F1" s="315"/>
      <c r="G1" s="315"/>
      <c r="H1" s="315"/>
      <c r="I1" s="315"/>
      <c r="J1" s="315"/>
      <c r="K1" s="315"/>
      <c r="L1" s="315"/>
      <c r="M1" s="315"/>
      <c r="N1" s="306"/>
      <c r="O1" s="57"/>
      <c r="P1" s="57"/>
    </row>
    <row r="2" spans="1:16" ht="92.25" customHeight="1">
      <c r="A2" s="316" t="s">
        <v>188</v>
      </c>
      <c r="B2" s="316"/>
      <c r="C2" s="316"/>
      <c r="D2" s="316"/>
      <c r="E2" s="316"/>
      <c r="F2" s="316"/>
      <c r="G2" s="316"/>
      <c r="H2" s="316"/>
      <c r="I2" s="316"/>
      <c r="J2" s="316"/>
      <c r="K2" s="316"/>
      <c r="L2" s="316"/>
      <c r="M2" s="316"/>
      <c r="N2" s="316"/>
      <c r="O2" s="260"/>
      <c r="P2" s="57"/>
    </row>
    <row r="3" spans="1:16" ht="15" customHeight="1">
      <c r="A3" s="312" t="s">
        <v>77</v>
      </c>
      <c r="B3" s="312"/>
      <c r="C3" s="48"/>
      <c r="D3" s="49"/>
      <c r="E3" s="261"/>
      <c r="F3" s="261"/>
      <c r="G3" s="50"/>
      <c r="H3" s="50"/>
      <c r="I3" s="50"/>
      <c r="J3" s="261"/>
      <c r="K3" s="261"/>
      <c r="L3" s="51"/>
      <c r="M3" s="51"/>
      <c r="N3" s="51"/>
      <c r="O3" s="57"/>
      <c r="P3" s="57"/>
    </row>
    <row r="4" spans="1:14" ht="30" customHeight="1">
      <c r="A4" s="52" t="s">
        <v>28</v>
      </c>
      <c r="B4" s="52" t="s">
        <v>1</v>
      </c>
      <c r="C4" s="52" t="s">
        <v>3</v>
      </c>
      <c r="D4" s="51" t="s">
        <v>120</v>
      </c>
      <c r="E4" s="52" t="s">
        <v>90</v>
      </c>
      <c r="F4" s="52" t="s">
        <v>91</v>
      </c>
      <c r="G4" s="52" t="s">
        <v>140</v>
      </c>
      <c r="H4" s="52" t="s">
        <v>127</v>
      </c>
      <c r="I4" s="52" t="s">
        <v>159</v>
      </c>
      <c r="J4" s="52" t="s">
        <v>119</v>
      </c>
      <c r="K4" s="52" t="s">
        <v>183</v>
      </c>
      <c r="L4" s="52" t="s">
        <v>38</v>
      </c>
      <c r="M4" s="52" t="s">
        <v>39</v>
      </c>
      <c r="N4" s="52" t="s">
        <v>40</v>
      </c>
    </row>
    <row r="5" spans="1:14" ht="15" customHeight="1">
      <c r="A5" s="318"/>
      <c r="B5" s="318"/>
      <c r="C5" s="319"/>
      <c r="D5" s="169">
        <v>1</v>
      </c>
      <c r="E5" s="169"/>
      <c r="F5" s="169">
        <v>1</v>
      </c>
      <c r="G5" s="169">
        <v>1</v>
      </c>
      <c r="H5" s="262"/>
      <c r="I5" s="262"/>
      <c r="J5" s="169">
        <v>1928</v>
      </c>
      <c r="K5" s="169" t="s">
        <v>41</v>
      </c>
      <c r="L5" s="101">
        <v>0</v>
      </c>
      <c r="M5" s="169"/>
      <c r="N5" s="262"/>
    </row>
    <row r="6" spans="1:14" ht="15" customHeight="1">
      <c r="A6" s="318"/>
      <c r="B6" s="318"/>
      <c r="C6" s="319"/>
      <c r="D6" s="169">
        <v>1</v>
      </c>
      <c r="E6" s="169">
        <v>1</v>
      </c>
      <c r="F6" s="169"/>
      <c r="G6" s="169">
        <v>1</v>
      </c>
      <c r="H6" s="262"/>
      <c r="I6" s="262"/>
      <c r="J6" s="169">
        <v>1927</v>
      </c>
      <c r="K6" s="169" t="s">
        <v>41</v>
      </c>
      <c r="L6" s="101">
        <v>0</v>
      </c>
      <c r="M6" s="169"/>
      <c r="N6" s="262"/>
    </row>
    <row r="7" spans="1:14" ht="15" customHeight="1">
      <c r="A7" s="318"/>
      <c r="B7" s="318"/>
      <c r="C7" s="319"/>
      <c r="D7" s="95">
        <v>1</v>
      </c>
      <c r="E7" s="169">
        <v>1</v>
      </c>
      <c r="F7" s="169"/>
      <c r="G7" s="169">
        <v>1</v>
      </c>
      <c r="H7" s="169"/>
      <c r="I7" s="169"/>
      <c r="J7" s="169">
        <v>1932</v>
      </c>
      <c r="K7" s="169" t="s">
        <v>41</v>
      </c>
      <c r="L7" s="101">
        <v>0</v>
      </c>
      <c r="M7" s="263"/>
      <c r="N7" s="264"/>
    </row>
    <row r="8" spans="1:14" ht="15" customHeight="1">
      <c r="A8" s="318"/>
      <c r="B8" s="318"/>
      <c r="C8" s="319"/>
      <c r="D8" s="95">
        <v>1</v>
      </c>
      <c r="E8" s="169">
        <v>1</v>
      </c>
      <c r="F8" s="169"/>
      <c r="G8" s="169">
        <v>1</v>
      </c>
      <c r="H8" s="169"/>
      <c r="I8" s="169"/>
      <c r="J8" s="169">
        <v>1927</v>
      </c>
      <c r="K8" s="169" t="s">
        <v>41</v>
      </c>
      <c r="L8" s="101">
        <v>0</v>
      </c>
      <c r="M8" s="263"/>
      <c r="N8" s="264"/>
    </row>
    <row r="9" spans="1:14" ht="15" customHeight="1">
      <c r="A9" s="320"/>
      <c r="B9" s="320"/>
      <c r="C9" s="319"/>
      <c r="D9" s="95">
        <v>1</v>
      </c>
      <c r="E9" s="169">
        <v>1</v>
      </c>
      <c r="F9" s="169"/>
      <c r="G9" s="169">
        <v>1</v>
      </c>
      <c r="H9" s="169"/>
      <c r="I9" s="169"/>
      <c r="J9" s="169">
        <v>1941</v>
      </c>
      <c r="K9" s="263" t="s">
        <v>42</v>
      </c>
      <c r="L9" s="101">
        <v>0</v>
      </c>
      <c r="M9" s="264"/>
      <c r="N9" s="229"/>
    </row>
    <row r="10" spans="1:14" ht="15" customHeight="1">
      <c r="A10" s="318"/>
      <c r="B10" s="318"/>
      <c r="C10" s="319"/>
      <c r="D10" s="95">
        <v>1</v>
      </c>
      <c r="E10" s="169"/>
      <c r="F10" s="169">
        <v>1</v>
      </c>
      <c r="G10" s="169">
        <v>1</v>
      </c>
      <c r="H10" s="169"/>
      <c r="I10" s="169"/>
      <c r="J10" s="169">
        <v>1927</v>
      </c>
      <c r="K10" s="263" t="s">
        <v>42</v>
      </c>
      <c r="L10" s="101">
        <v>0</v>
      </c>
      <c r="M10" s="263"/>
      <c r="N10" s="264"/>
    </row>
    <row r="11" spans="1:14" ht="15" customHeight="1">
      <c r="A11" s="318"/>
      <c r="B11" s="318"/>
      <c r="C11" s="319"/>
      <c r="D11" s="95">
        <v>1</v>
      </c>
      <c r="E11" s="169"/>
      <c r="F11" s="169">
        <v>1</v>
      </c>
      <c r="G11" s="169">
        <v>1</v>
      </c>
      <c r="H11" s="169"/>
      <c r="I11" s="169"/>
      <c r="J11" s="169">
        <v>1936</v>
      </c>
      <c r="K11" s="169" t="s">
        <v>41</v>
      </c>
      <c r="L11" s="263"/>
      <c r="M11" s="55"/>
      <c r="N11" s="101">
        <v>1250</v>
      </c>
    </row>
    <row r="12" spans="1:14" ht="15" customHeight="1">
      <c r="A12" s="318"/>
      <c r="B12" s="318"/>
      <c r="C12" s="319"/>
      <c r="D12" s="169">
        <v>1</v>
      </c>
      <c r="E12" s="169"/>
      <c r="F12" s="169">
        <v>1</v>
      </c>
      <c r="G12" s="169">
        <v>1</v>
      </c>
      <c r="H12" s="262"/>
      <c r="I12" s="262"/>
      <c r="J12" s="169">
        <v>1947</v>
      </c>
      <c r="K12" s="169" t="s">
        <v>41</v>
      </c>
      <c r="L12" s="101">
        <v>0</v>
      </c>
      <c r="M12" s="169"/>
      <c r="N12" s="262"/>
    </row>
    <row r="13" spans="1:14" ht="15" customHeight="1">
      <c r="A13" s="318"/>
      <c r="B13" s="318"/>
      <c r="C13" s="319"/>
      <c r="D13" s="232">
        <v>1</v>
      </c>
      <c r="E13" s="232"/>
      <c r="F13" s="232">
        <v>1</v>
      </c>
      <c r="G13" s="232">
        <v>1</v>
      </c>
      <c r="H13" s="265"/>
      <c r="I13" s="265"/>
      <c r="J13" s="169">
        <v>1922</v>
      </c>
      <c r="K13" s="169" t="s">
        <v>41</v>
      </c>
      <c r="L13" s="101">
        <v>0</v>
      </c>
      <c r="M13" s="266"/>
      <c r="N13" s="265"/>
    </row>
    <row r="14" spans="1:14" s="269" customFormat="1" ht="15" customHeight="1">
      <c r="A14" s="317" t="s">
        <v>93</v>
      </c>
      <c r="B14" s="317"/>
      <c r="C14" s="60"/>
      <c r="D14" s="60">
        <f>SUM(D5:D13)</f>
        <v>9</v>
      </c>
      <c r="E14" s="60">
        <f>SUM(E5:E13)</f>
        <v>4</v>
      </c>
      <c r="F14" s="60">
        <f>SUM(F5:F13)</f>
        <v>5</v>
      </c>
      <c r="G14" s="60">
        <f>SUM(G5:G13)</f>
        <v>9</v>
      </c>
      <c r="H14" s="60">
        <v>0</v>
      </c>
      <c r="I14" s="60"/>
      <c r="J14" s="60"/>
      <c r="K14" s="60"/>
      <c r="L14" s="267">
        <f>SUM(L5:L12)</f>
        <v>0</v>
      </c>
      <c r="M14" s="267">
        <f>SUM(M5:M12)</f>
        <v>0</v>
      </c>
      <c r="N14" s="268">
        <f>SUM(N13)</f>
        <v>0</v>
      </c>
    </row>
    <row r="15" spans="1:14" ht="15" customHeight="1">
      <c r="A15" s="312" t="s">
        <v>78</v>
      </c>
      <c r="B15" s="312"/>
      <c r="C15" s="48"/>
      <c r="D15" s="61"/>
      <c r="E15" s="261"/>
      <c r="F15" s="261"/>
      <c r="G15" s="50"/>
      <c r="H15" s="50"/>
      <c r="I15" s="50"/>
      <c r="J15" s="261"/>
      <c r="K15" s="261"/>
      <c r="L15" s="51"/>
      <c r="M15" s="51"/>
      <c r="N15" s="51"/>
    </row>
    <row r="16" spans="1:14" ht="30" customHeight="1">
      <c r="A16" s="52" t="s">
        <v>28</v>
      </c>
      <c r="B16" s="52" t="s">
        <v>1</v>
      </c>
      <c r="C16" s="52" t="s">
        <v>3</v>
      </c>
      <c r="D16" s="51" t="s">
        <v>120</v>
      </c>
      <c r="E16" s="52" t="s">
        <v>90</v>
      </c>
      <c r="F16" s="52" t="s">
        <v>91</v>
      </c>
      <c r="G16" s="52" t="s">
        <v>140</v>
      </c>
      <c r="H16" s="52" t="s">
        <v>127</v>
      </c>
      <c r="I16" s="52" t="s">
        <v>159</v>
      </c>
      <c r="J16" s="52" t="s">
        <v>119</v>
      </c>
      <c r="K16" s="52" t="s">
        <v>183</v>
      </c>
      <c r="L16" s="52" t="s">
        <v>38</v>
      </c>
      <c r="M16" s="52" t="s">
        <v>39</v>
      </c>
      <c r="N16" s="52" t="s">
        <v>40</v>
      </c>
    </row>
    <row r="17" spans="1:14" s="56" customFormat="1" ht="15" customHeight="1">
      <c r="A17" s="318"/>
      <c r="B17" s="318"/>
      <c r="C17" s="319"/>
      <c r="D17" s="95">
        <v>1</v>
      </c>
      <c r="E17" s="169"/>
      <c r="F17" s="169">
        <v>1</v>
      </c>
      <c r="G17" s="169">
        <v>1</v>
      </c>
      <c r="H17" s="262"/>
      <c r="I17" s="262"/>
      <c r="J17" s="169"/>
      <c r="K17" s="169" t="s">
        <v>41</v>
      </c>
      <c r="L17" s="270">
        <v>0</v>
      </c>
      <c r="M17" s="169"/>
      <c r="N17" s="262"/>
    </row>
    <row r="18" spans="1:14" s="56" customFormat="1" ht="15" customHeight="1">
      <c r="A18" s="318"/>
      <c r="B18" s="318"/>
      <c r="C18" s="319"/>
      <c r="D18" s="95">
        <v>1</v>
      </c>
      <c r="E18" s="169"/>
      <c r="F18" s="169">
        <v>1</v>
      </c>
      <c r="G18" s="169">
        <v>1</v>
      </c>
      <c r="H18" s="262"/>
      <c r="I18" s="262"/>
      <c r="J18" s="169">
        <v>1939</v>
      </c>
      <c r="K18" s="263" t="s">
        <v>42</v>
      </c>
      <c r="L18" s="270">
        <v>0</v>
      </c>
      <c r="M18" s="169"/>
      <c r="N18" s="169"/>
    </row>
    <row r="19" spans="1:16" s="56" customFormat="1" ht="15" customHeight="1">
      <c r="A19" s="318"/>
      <c r="B19" s="318"/>
      <c r="C19" s="319"/>
      <c r="D19" s="95">
        <v>1</v>
      </c>
      <c r="E19" s="169"/>
      <c r="F19" s="169">
        <v>1</v>
      </c>
      <c r="G19" s="169">
        <v>1</v>
      </c>
      <c r="H19" s="169"/>
      <c r="I19" s="169"/>
      <c r="J19" s="169"/>
      <c r="K19" s="169" t="s">
        <v>41</v>
      </c>
      <c r="L19" s="270">
        <v>0</v>
      </c>
      <c r="M19" s="169"/>
      <c r="N19" s="169"/>
      <c r="O19" s="271"/>
      <c r="P19" s="272"/>
    </row>
    <row r="20" spans="1:15" s="56" customFormat="1" ht="15" customHeight="1">
      <c r="A20" s="318"/>
      <c r="B20" s="318"/>
      <c r="C20" s="319"/>
      <c r="D20" s="95">
        <v>1</v>
      </c>
      <c r="E20" s="169"/>
      <c r="F20" s="169">
        <v>1</v>
      </c>
      <c r="G20" s="169">
        <v>1</v>
      </c>
      <c r="H20" s="169"/>
      <c r="I20" s="169"/>
      <c r="J20" s="169"/>
      <c r="K20" s="263" t="s">
        <v>42</v>
      </c>
      <c r="L20" s="270">
        <v>0</v>
      </c>
      <c r="M20" s="263"/>
      <c r="N20" s="264"/>
      <c r="O20" s="271"/>
    </row>
    <row r="21" spans="1:15" s="56" customFormat="1" ht="15" customHeight="1">
      <c r="A21" s="318"/>
      <c r="B21" s="318"/>
      <c r="C21" s="319"/>
      <c r="D21" s="95">
        <v>1</v>
      </c>
      <c r="E21" s="169">
        <v>1</v>
      </c>
      <c r="F21" s="169"/>
      <c r="G21" s="169">
        <v>1</v>
      </c>
      <c r="H21" s="262"/>
      <c r="I21" s="262"/>
      <c r="J21" s="169"/>
      <c r="K21" s="263" t="s">
        <v>42</v>
      </c>
      <c r="L21" s="270">
        <v>0</v>
      </c>
      <c r="M21" s="169"/>
      <c r="N21" s="169"/>
      <c r="O21" s="271"/>
    </row>
    <row r="22" spans="1:15" s="56" customFormat="1" ht="15" customHeight="1">
      <c r="A22" s="318"/>
      <c r="B22" s="318"/>
      <c r="C22" s="319"/>
      <c r="D22" s="95">
        <v>1</v>
      </c>
      <c r="E22" s="169"/>
      <c r="F22" s="169">
        <v>1</v>
      </c>
      <c r="G22" s="169">
        <v>1</v>
      </c>
      <c r="H22" s="262"/>
      <c r="I22" s="262"/>
      <c r="J22" s="169"/>
      <c r="K22" s="169" t="s">
        <v>41</v>
      </c>
      <c r="L22" s="270">
        <v>0</v>
      </c>
      <c r="M22" s="169"/>
      <c r="N22" s="169"/>
      <c r="O22" s="271"/>
    </row>
    <row r="23" spans="1:15" ht="15" customHeight="1">
      <c r="A23" s="318"/>
      <c r="B23" s="318"/>
      <c r="C23" s="319"/>
      <c r="D23" s="95">
        <v>1</v>
      </c>
      <c r="E23" s="169">
        <v>1</v>
      </c>
      <c r="F23" s="169"/>
      <c r="G23" s="169">
        <v>1</v>
      </c>
      <c r="H23" s="169"/>
      <c r="I23" s="169"/>
      <c r="J23" s="169">
        <v>1942</v>
      </c>
      <c r="K23" s="263" t="s">
        <v>42</v>
      </c>
      <c r="L23" s="273">
        <v>480</v>
      </c>
      <c r="M23" s="169"/>
      <c r="N23" s="169"/>
      <c r="O23" s="271"/>
    </row>
    <row r="24" spans="1:15" ht="15" customHeight="1">
      <c r="A24" s="318"/>
      <c r="B24" s="318"/>
      <c r="C24" s="319"/>
      <c r="D24" s="95"/>
      <c r="E24" s="169"/>
      <c r="F24" s="169"/>
      <c r="G24" s="169"/>
      <c r="H24" s="169"/>
      <c r="I24" s="169"/>
      <c r="J24" s="169"/>
      <c r="K24" s="263" t="s">
        <v>42</v>
      </c>
      <c r="L24" s="273">
        <v>1650</v>
      </c>
      <c r="M24" s="169"/>
      <c r="N24" s="169"/>
      <c r="O24" s="271"/>
    </row>
    <row r="25" spans="1:15" s="56" customFormat="1" ht="15" customHeight="1">
      <c r="A25" s="318"/>
      <c r="B25" s="318"/>
      <c r="C25" s="319"/>
      <c r="D25" s="95">
        <v>1</v>
      </c>
      <c r="E25" s="169">
        <v>1</v>
      </c>
      <c r="F25" s="169"/>
      <c r="G25" s="169">
        <v>1</v>
      </c>
      <c r="H25" s="169"/>
      <c r="I25" s="169"/>
      <c r="J25" s="169">
        <v>1931</v>
      </c>
      <c r="K25" s="169" t="s">
        <v>41</v>
      </c>
      <c r="L25" s="273">
        <v>480</v>
      </c>
      <c r="M25" s="263"/>
      <c r="N25" s="264"/>
      <c r="O25" s="271"/>
    </row>
    <row r="26" spans="1:15" s="56" customFormat="1" ht="15" customHeight="1">
      <c r="A26" s="318"/>
      <c r="B26" s="318"/>
      <c r="C26" s="319"/>
      <c r="D26" s="95">
        <v>1</v>
      </c>
      <c r="E26" s="169"/>
      <c r="F26" s="169">
        <v>1</v>
      </c>
      <c r="G26" s="169">
        <v>1</v>
      </c>
      <c r="H26" s="169"/>
      <c r="I26" s="169"/>
      <c r="J26" s="169"/>
      <c r="K26" s="169" t="s">
        <v>41</v>
      </c>
      <c r="L26" s="270">
        <v>0</v>
      </c>
      <c r="M26" s="263"/>
      <c r="N26" s="264"/>
      <c r="O26" s="271"/>
    </row>
    <row r="27" spans="1:15" s="56" customFormat="1" ht="15" customHeight="1">
      <c r="A27" s="318"/>
      <c r="B27" s="318"/>
      <c r="C27" s="319"/>
      <c r="D27" s="95">
        <v>1</v>
      </c>
      <c r="E27" s="169"/>
      <c r="F27" s="169">
        <v>1</v>
      </c>
      <c r="G27" s="169">
        <v>1</v>
      </c>
      <c r="H27" s="169"/>
      <c r="I27" s="169"/>
      <c r="J27" s="169"/>
      <c r="K27" s="169" t="s">
        <v>41</v>
      </c>
      <c r="L27" s="270">
        <v>0</v>
      </c>
      <c r="M27" s="263"/>
      <c r="N27" s="264"/>
      <c r="O27" s="271"/>
    </row>
    <row r="28" spans="1:15" s="56" customFormat="1" ht="15" customHeight="1">
      <c r="A28" s="318"/>
      <c r="B28" s="318"/>
      <c r="C28" s="319"/>
      <c r="D28" s="95">
        <v>1</v>
      </c>
      <c r="E28" s="169">
        <v>1</v>
      </c>
      <c r="F28" s="169"/>
      <c r="G28" s="169">
        <v>1</v>
      </c>
      <c r="H28" s="262"/>
      <c r="I28" s="262"/>
      <c r="J28" s="169"/>
      <c r="K28" s="263" t="s">
        <v>42</v>
      </c>
      <c r="L28" s="270">
        <v>0</v>
      </c>
      <c r="N28" s="262"/>
      <c r="O28" s="271"/>
    </row>
    <row r="29" spans="1:15" s="56" customFormat="1" ht="15" customHeight="1">
      <c r="A29" s="318"/>
      <c r="B29" s="318"/>
      <c r="C29" s="319"/>
      <c r="D29" s="95">
        <v>1</v>
      </c>
      <c r="E29" s="169"/>
      <c r="F29" s="169">
        <v>1</v>
      </c>
      <c r="G29" s="169">
        <v>1</v>
      </c>
      <c r="H29" s="262"/>
      <c r="I29" s="262"/>
      <c r="J29" s="169">
        <v>1967</v>
      </c>
      <c r="K29" s="263" t="s">
        <v>42</v>
      </c>
      <c r="L29" s="274"/>
      <c r="M29" s="270">
        <v>948.19</v>
      </c>
      <c r="N29" s="262"/>
      <c r="O29" s="271"/>
    </row>
    <row r="30" spans="1:15" s="56" customFormat="1" ht="15" customHeight="1">
      <c r="A30" s="318"/>
      <c r="B30" s="318"/>
      <c r="C30" s="319"/>
      <c r="D30" s="95">
        <v>1</v>
      </c>
      <c r="E30" s="169"/>
      <c r="F30" s="169">
        <v>1</v>
      </c>
      <c r="G30" s="169">
        <v>1</v>
      </c>
      <c r="H30" s="262"/>
      <c r="I30" s="262"/>
      <c r="J30" s="169">
        <v>1967</v>
      </c>
      <c r="K30" s="263" t="s">
        <v>42</v>
      </c>
      <c r="L30" s="274"/>
      <c r="M30" s="270">
        <v>650</v>
      </c>
      <c r="N30" s="262"/>
      <c r="O30" s="271"/>
    </row>
    <row r="31" spans="1:15" ht="15" customHeight="1">
      <c r="A31" s="318"/>
      <c r="B31" s="318"/>
      <c r="C31" s="319"/>
      <c r="D31" s="95">
        <v>1</v>
      </c>
      <c r="E31" s="169"/>
      <c r="F31" s="169">
        <v>1</v>
      </c>
      <c r="G31" s="169">
        <v>1</v>
      </c>
      <c r="H31" s="169"/>
      <c r="I31" s="169"/>
      <c r="J31" s="169"/>
      <c r="K31" s="169" t="s">
        <v>41</v>
      </c>
      <c r="L31" s="270">
        <v>0</v>
      </c>
      <c r="M31" s="263"/>
      <c r="N31" s="264"/>
      <c r="O31" s="271"/>
    </row>
    <row r="32" spans="1:15" ht="15" customHeight="1">
      <c r="A32" s="318"/>
      <c r="B32" s="318"/>
      <c r="C32" s="319"/>
      <c r="D32" s="95">
        <v>1</v>
      </c>
      <c r="E32" s="169">
        <v>1</v>
      </c>
      <c r="F32" s="169"/>
      <c r="G32" s="169">
        <v>1</v>
      </c>
      <c r="H32" s="262"/>
      <c r="I32" s="262"/>
      <c r="J32" s="169"/>
      <c r="K32" s="169" t="s">
        <v>41</v>
      </c>
      <c r="L32" s="270">
        <v>0</v>
      </c>
      <c r="M32" s="169"/>
      <c r="N32" s="262"/>
      <c r="O32" s="271"/>
    </row>
    <row r="33" spans="1:15" ht="15" customHeight="1">
      <c r="A33" s="318"/>
      <c r="B33" s="318"/>
      <c r="C33" s="319"/>
      <c r="D33" s="95">
        <v>1</v>
      </c>
      <c r="E33" s="169">
        <v>1</v>
      </c>
      <c r="F33" s="169"/>
      <c r="G33" s="169"/>
      <c r="H33" s="169">
        <v>1</v>
      </c>
      <c r="I33" s="169"/>
      <c r="J33" s="169"/>
      <c r="K33" s="169" t="s">
        <v>41</v>
      </c>
      <c r="L33" s="270">
        <v>0</v>
      </c>
      <c r="M33" s="263"/>
      <c r="N33" s="264"/>
      <c r="O33" s="271"/>
    </row>
    <row r="34" spans="1:15" ht="15" customHeight="1">
      <c r="A34" s="318"/>
      <c r="B34" s="318"/>
      <c r="C34" s="319"/>
      <c r="D34" s="95">
        <v>1</v>
      </c>
      <c r="E34" s="169">
        <v>1</v>
      </c>
      <c r="F34" s="169"/>
      <c r="G34" s="169">
        <v>1</v>
      </c>
      <c r="H34" s="169"/>
      <c r="I34" s="169"/>
      <c r="J34" s="169"/>
      <c r="K34" s="263" t="s">
        <v>42</v>
      </c>
      <c r="L34" s="270">
        <v>0</v>
      </c>
      <c r="M34" s="263"/>
      <c r="N34" s="264"/>
      <c r="O34" s="271"/>
    </row>
    <row r="35" spans="1:15" ht="15" customHeight="1">
      <c r="A35" s="318"/>
      <c r="B35" s="318"/>
      <c r="C35" s="319"/>
      <c r="D35" s="95">
        <v>1</v>
      </c>
      <c r="E35" s="169"/>
      <c r="F35" s="169">
        <v>1</v>
      </c>
      <c r="G35" s="169">
        <v>1</v>
      </c>
      <c r="H35" s="169"/>
      <c r="I35" s="169"/>
      <c r="J35" s="169">
        <v>1923</v>
      </c>
      <c r="K35" s="263" t="s">
        <v>42</v>
      </c>
      <c r="L35" s="273">
        <v>480</v>
      </c>
      <c r="M35" s="169"/>
      <c r="N35" s="169"/>
      <c r="O35" s="271"/>
    </row>
    <row r="36" spans="1:15" ht="15" customHeight="1">
      <c r="A36" s="318"/>
      <c r="B36" s="318"/>
      <c r="C36" s="319"/>
      <c r="D36" s="95">
        <v>1</v>
      </c>
      <c r="E36" s="169"/>
      <c r="F36" s="169">
        <v>1</v>
      </c>
      <c r="G36" s="169">
        <v>1</v>
      </c>
      <c r="H36" s="262"/>
      <c r="I36" s="262"/>
      <c r="J36" s="232">
        <v>1973</v>
      </c>
      <c r="K36" s="263" t="s">
        <v>42</v>
      </c>
      <c r="L36" s="169"/>
      <c r="M36" s="270">
        <v>325</v>
      </c>
      <c r="N36" s="262"/>
      <c r="O36" s="271"/>
    </row>
    <row r="37" spans="1:14" ht="15" customHeight="1">
      <c r="A37" s="318"/>
      <c r="B37" s="318"/>
      <c r="C37" s="319"/>
      <c r="D37" s="95">
        <v>1</v>
      </c>
      <c r="E37" s="169"/>
      <c r="F37" s="169">
        <v>1</v>
      </c>
      <c r="G37" s="169">
        <v>1</v>
      </c>
      <c r="H37" s="169"/>
      <c r="I37" s="169"/>
      <c r="J37" s="169">
        <v>1940</v>
      </c>
      <c r="K37" s="263" t="s">
        <v>42</v>
      </c>
      <c r="L37" s="270">
        <v>0</v>
      </c>
      <c r="M37" s="169"/>
      <c r="N37" s="169"/>
    </row>
    <row r="38" spans="1:14" ht="15" customHeight="1">
      <c r="A38" s="318"/>
      <c r="B38" s="318"/>
      <c r="C38" s="319"/>
      <c r="D38" s="95">
        <v>1</v>
      </c>
      <c r="E38" s="169">
        <v>1</v>
      </c>
      <c r="F38" s="169"/>
      <c r="G38" s="169">
        <v>1</v>
      </c>
      <c r="H38" s="262"/>
      <c r="I38" s="262"/>
      <c r="J38" s="169"/>
      <c r="K38" s="169" t="s">
        <v>41</v>
      </c>
      <c r="L38" s="270">
        <v>0</v>
      </c>
      <c r="M38" s="169"/>
      <c r="N38" s="262"/>
    </row>
    <row r="39" spans="1:14" ht="15" customHeight="1">
      <c r="A39" s="318"/>
      <c r="B39" s="318"/>
      <c r="C39" s="319"/>
      <c r="D39" s="95">
        <v>1</v>
      </c>
      <c r="E39" s="169">
        <v>1</v>
      </c>
      <c r="F39" s="169"/>
      <c r="G39" s="169">
        <v>1</v>
      </c>
      <c r="H39" s="262"/>
      <c r="I39" s="262"/>
      <c r="J39" s="169">
        <v>1941</v>
      </c>
      <c r="K39" s="169" t="s">
        <v>41</v>
      </c>
      <c r="L39" s="270">
        <v>0</v>
      </c>
      <c r="M39" s="169"/>
      <c r="N39" s="262"/>
    </row>
    <row r="40" spans="1:14" ht="15" customHeight="1">
      <c r="A40" s="318"/>
      <c r="B40" s="318"/>
      <c r="C40" s="319"/>
      <c r="D40" s="95">
        <v>1</v>
      </c>
      <c r="E40" s="169">
        <v>1</v>
      </c>
      <c r="F40" s="169"/>
      <c r="G40" s="169">
        <v>1</v>
      </c>
      <c r="H40" s="169"/>
      <c r="I40" s="169"/>
      <c r="J40" s="169"/>
      <c r="K40" s="169" t="s">
        <v>41</v>
      </c>
      <c r="L40" s="270">
        <v>0</v>
      </c>
      <c r="M40" s="263"/>
      <c r="N40" s="264"/>
    </row>
    <row r="41" spans="1:14" ht="15" customHeight="1">
      <c r="A41" s="318"/>
      <c r="B41" s="318"/>
      <c r="C41" s="319"/>
      <c r="D41" s="95">
        <v>1</v>
      </c>
      <c r="E41" s="169">
        <v>1</v>
      </c>
      <c r="F41" s="169"/>
      <c r="G41" s="169">
        <v>1</v>
      </c>
      <c r="H41" s="169"/>
      <c r="I41" s="169"/>
      <c r="J41" s="169"/>
      <c r="K41" s="263" t="s">
        <v>42</v>
      </c>
      <c r="L41" s="270">
        <v>0</v>
      </c>
      <c r="M41" s="169"/>
      <c r="N41" s="169"/>
    </row>
    <row r="42" spans="1:14" ht="15" customHeight="1">
      <c r="A42" s="318"/>
      <c r="B42" s="318"/>
      <c r="C42" s="319"/>
      <c r="D42" s="95">
        <v>1</v>
      </c>
      <c r="E42" s="169"/>
      <c r="F42" s="169">
        <v>1</v>
      </c>
      <c r="G42" s="169">
        <v>1</v>
      </c>
      <c r="H42" s="169"/>
      <c r="I42" s="169"/>
      <c r="J42" s="169">
        <v>1937</v>
      </c>
      <c r="K42" s="169" t="s">
        <v>41</v>
      </c>
      <c r="L42" s="270">
        <v>0</v>
      </c>
      <c r="M42" s="169"/>
      <c r="N42" s="169"/>
    </row>
    <row r="43" spans="1:14" ht="15" customHeight="1">
      <c r="A43" s="318"/>
      <c r="B43" s="318"/>
      <c r="C43" s="319"/>
      <c r="D43" s="95">
        <v>1</v>
      </c>
      <c r="E43" s="169"/>
      <c r="F43" s="169">
        <v>1</v>
      </c>
      <c r="G43" s="169">
        <v>1</v>
      </c>
      <c r="H43" s="262"/>
      <c r="I43" s="262"/>
      <c r="J43" s="169"/>
      <c r="K43" s="169" t="s">
        <v>41</v>
      </c>
      <c r="L43" s="270">
        <v>0</v>
      </c>
      <c r="M43" s="169"/>
      <c r="N43" s="262"/>
    </row>
    <row r="44" spans="1:14" ht="15" customHeight="1">
      <c r="A44" s="318"/>
      <c r="B44" s="318"/>
      <c r="C44" s="319"/>
      <c r="D44" s="95">
        <v>1</v>
      </c>
      <c r="E44" s="169">
        <v>1</v>
      </c>
      <c r="F44" s="169"/>
      <c r="G44" s="169">
        <v>1</v>
      </c>
      <c r="H44" s="265"/>
      <c r="I44" s="265"/>
      <c r="J44" s="232">
        <v>1946</v>
      </c>
      <c r="K44" s="169" t="s">
        <v>41</v>
      </c>
      <c r="L44" s="169"/>
      <c r="N44" s="270">
        <v>925</v>
      </c>
    </row>
    <row r="45" spans="1:14" ht="15" customHeight="1">
      <c r="A45" s="318"/>
      <c r="B45" s="318"/>
      <c r="C45" s="319"/>
      <c r="D45" s="95">
        <v>1</v>
      </c>
      <c r="E45" s="169">
        <v>1</v>
      </c>
      <c r="F45" s="169"/>
      <c r="G45" s="169">
        <v>1</v>
      </c>
      <c r="H45" s="169"/>
      <c r="I45" s="169"/>
      <c r="J45" s="169"/>
      <c r="K45" s="169" t="s">
        <v>41</v>
      </c>
      <c r="L45" s="270">
        <v>0</v>
      </c>
      <c r="M45" s="169"/>
      <c r="N45" s="169"/>
    </row>
    <row r="46" spans="1:14" ht="15" customHeight="1">
      <c r="A46" s="318"/>
      <c r="B46" s="318"/>
      <c r="C46" s="319"/>
      <c r="D46" s="95">
        <v>1</v>
      </c>
      <c r="E46" s="169">
        <v>1</v>
      </c>
      <c r="F46" s="169"/>
      <c r="G46" s="169">
        <v>1</v>
      </c>
      <c r="H46" s="262"/>
      <c r="I46" s="262"/>
      <c r="J46" s="169"/>
      <c r="K46" s="169" t="s">
        <v>41</v>
      </c>
      <c r="L46" s="270">
        <v>0</v>
      </c>
      <c r="M46" s="169"/>
      <c r="N46" s="169"/>
    </row>
    <row r="47" spans="1:14" ht="15" customHeight="1">
      <c r="A47" s="318"/>
      <c r="B47" s="318"/>
      <c r="C47" s="319"/>
      <c r="D47" s="95">
        <v>1</v>
      </c>
      <c r="E47" s="169"/>
      <c r="F47" s="169">
        <v>1</v>
      </c>
      <c r="G47" s="169">
        <v>1</v>
      </c>
      <c r="H47" s="262"/>
      <c r="I47" s="262"/>
      <c r="J47" s="232">
        <v>1928</v>
      </c>
      <c r="K47" s="169" t="s">
        <v>41</v>
      </c>
      <c r="L47" s="169"/>
      <c r="M47" s="275"/>
      <c r="N47" s="270">
        <v>1350</v>
      </c>
    </row>
    <row r="48" spans="1:14" ht="15" customHeight="1">
      <c r="A48" s="318"/>
      <c r="B48" s="318"/>
      <c r="C48" s="319"/>
      <c r="D48" s="95">
        <v>1</v>
      </c>
      <c r="E48" s="169"/>
      <c r="F48" s="169">
        <v>1</v>
      </c>
      <c r="G48" s="169">
        <v>1</v>
      </c>
      <c r="H48" s="262"/>
      <c r="I48" s="262"/>
      <c r="J48" s="232">
        <v>1928</v>
      </c>
      <c r="K48" s="169" t="s">
        <v>41</v>
      </c>
      <c r="L48" s="169"/>
      <c r="M48" s="275"/>
      <c r="N48" s="270">
        <v>1350</v>
      </c>
    </row>
    <row r="49" spans="1:14" ht="15" customHeight="1">
      <c r="A49" s="318"/>
      <c r="B49" s="318"/>
      <c r="C49" s="319"/>
      <c r="D49" s="95">
        <v>1</v>
      </c>
      <c r="E49" s="169">
        <v>1</v>
      </c>
      <c r="F49" s="169"/>
      <c r="G49" s="169">
        <v>1</v>
      </c>
      <c r="H49" s="169"/>
      <c r="I49" s="169"/>
      <c r="J49" s="169"/>
      <c r="K49" s="169" t="s">
        <v>41</v>
      </c>
      <c r="L49" s="270">
        <v>0</v>
      </c>
      <c r="M49" s="169"/>
      <c r="N49" s="169"/>
    </row>
    <row r="50" spans="1:15" ht="15" customHeight="1">
      <c r="A50" s="318"/>
      <c r="B50" s="318"/>
      <c r="C50" s="319"/>
      <c r="D50" s="95">
        <v>1</v>
      </c>
      <c r="E50" s="169"/>
      <c r="F50" s="169">
        <v>1</v>
      </c>
      <c r="G50" s="169">
        <v>1</v>
      </c>
      <c r="H50" s="169"/>
      <c r="I50" s="169"/>
      <c r="J50" s="232">
        <v>1924</v>
      </c>
      <c r="K50" s="263" t="s">
        <v>42</v>
      </c>
      <c r="L50" s="273">
        <v>480</v>
      </c>
      <c r="M50" s="270">
        <v>1980</v>
      </c>
      <c r="N50" s="56"/>
      <c r="O50" s="276"/>
    </row>
    <row r="51" spans="1:14" ht="15" customHeight="1">
      <c r="A51" s="318"/>
      <c r="B51" s="318"/>
      <c r="C51" s="319"/>
      <c r="D51" s="95">
        <v>1</v>
      </c>
      <c r="E51" s="169">
        <v>1</v>
      </c>
      <c r="F51" s="169"/>
      <c r="G51" s="169">
        <v>1</v>
      </c>
      <c r="H51" s="262"/>
      <c r="I51" s="262"/>
      <c r="J51" s="169"/>
      <c r="K51" s="263" t="s">
        <v>42</v>
      </c>
      <c r="L51" s="270">
        <v>0</v>
      </c>
      <c r="M51" s="169"/>
      <c r="N51" s="262"/>
    </row>
    <row r="52" spans="1:14" ht="15" customHeight="1">
      <c r="A52" s="318"/>
      <c r="B52" s="318"/>
      <c r="C52" s="319"/>
      <c r="D52" s="95">
        <v>1</v>
      </c>
      <c r="E52" s="169"/>
      <c r="F52" s="169">
        <v>1</v>
      </c>
      <c r="G52" s="169">
        <v>1</v>
      </c>
      <c r="H52" s="262"/>
      <c r="I52" s="262"/>
      <c r="J52" s="169">
        <v>1934</v>
      </c>
      <c r="K52" s="263" t="s">
        <v>42</v>
      </c>
      <c r="L52" s="270">
        <v>0</v>
      </c>
      <c r="M52" s="270"/>
      <c r="N52" s="275"/>
    </row>
    <row r="53" spans="1:14" ht="15" customHeight="1">
      <c r="A53" s="318"/>
      <c r="B53" s="318"/>
      <c r="C53" s="319"/>
      <c r="D53" s="95">
        <v>1</v>
      </c>
      <c r="E53" s="169"/>
      <c r="F53" s="169">
        <v>1</v>
      </c>
      <c r="G53" s="169">
        <v>1</v>
      </c>
      <c r="H53" s="262"/>
      <c r="I53" s="262"/>
      <c r="J53" s="169">
        <v>1934</v>
      </c>
      <c r="K53" s="263" t="s">
        <v>42</v>
      </c>
      <c r="L53" s="270"/>
      <c r="M53" s="270">
        <v>800</v>
      </c>
      <c r="N53" s="275"/>
    </row>
    <row r="54" spans="1:14" ht="15" customHeight="1">
      <c r="A54" s="318"/>
      <c r="B54" s="318"/>
      <c r="C54" s="319"/>
      <c r="D54" s="95">
        <v>1</v>
      </c>
      <c r="E54" s="169"/>
      <c r="F54" s="169">
        <v>1</v>
      </c>
      <c r="G54" s="169">
        <v>1</v>
      </c>
      <c r="H54" s="262"/>
      <c r="I54" s="262"/>
      <c r="J54" s="169">
        <v>1934</v>
      </c>
      <c r="K54" s="263" t="s">
        <v>42</v>
      </c>
      <c r="L54" s="270"/>
      <c r="M54" s="270">
        <v>800</v>
      </c>
      <c r="N54" s="275"/>
    </row>
    <row r="55" spans="1:14" ht="15" customHeight="1">
      <c r="A55" s="318"/>
      <c r="B55" s="318"/>
      <c r="C55" s="319"/>
      <c r="D55" s="95">
        <v>1</v>
      </c>
      <c r="E55" s="169"/>
      <c r="F55" s="169">
        <v>1</v>
      </c>
      <c r="G55" s="169">
        <v>1</v>
      </c>
      <c r="H55" s="169"/>
      <c r="I55" s="169"/>
      <c r="J55" s="169"/>
      <c r="K55" s="169" t="s">
        <v>41</v>
      </c>
      <c r="L55" s="270">
        <v>0</v>
      </c>
      <c r="M55" s="169"/>
      <c r="N55" s="169"/>
    </row>
    <row r="56" spans="1:14" ht="15" customHeight="1">
      <c r="A56" s="318"/>
      <c r="B56" s="318"/>
      <c r="C56" s="319"/>
      <c r="D56" s="95">
        <v>1</v>
      </c>
      <c r="E56" s="169"/>
      <c r="F56" s="169">
        <v>1</v>
      </c>
      <c r="G56" s="169">
        <v>1</v>
      </c>
      <c r="H56" s="169"/>
      <c r="I56" s="169"/>
      <c r="J56" s="169"/>
      <c r="K56" s="169" t="s">
        <v>41</v>
      </c>
      <c r="L56" s="270">
        <v>0</v>
      </c>
      <c r="M56" s="169"/>
      <c r="N56" s="169"/>
    </row>
    <row r="57" spans="1:14" ht="15" customHeight="1">
      <c r="A57" s="318"/>
      <c r="B57" s="318"/>
      <c r="C57" s="319"/>
      <c r="D57" s="95">
        <v>1</v>
      </c>
      <c r="E57" s="169"/>
      <c r="F57" s="169">
        <v>1</v>
      </c>
      <c r="G57" s="169">
        <v>1</v>
      </c>
      <c r="H57" s="262"/>
      <c r="I57" s="262"/>
      <c r="J57" s="169">
        <v>1932</v>
      </c>
      <c r="K57" s="263" t="s">
        <v>42</v>
      </c>
      <c r="L57" s="270">
        <v>0</v>
      </c>
      <c r="M57" s="169"/>
      <c r="N57" s="262"/>
    </row>
    <row r="58" spans="1:15" ht="15" customHeight="1">
      <c r="A58" s="318"/>
      <c r="B58" s="318"/>
      <c r="C58" s="319"/>
      <c r="D58" s="95">
        <v>1</v>
      </c>
      <c r="E58" s="169"/>
      <c r="F58" s="169">
        <v>1</v>
      </c>
      <c r="G58" s="169">
        <v>1</v>
      </c>
      <c r="H58" s="262"/>
      <c r="I58" s="262"/>
      <c r="J58" s="169">
        <v>1945</v>
      </c>
      <c r="K58" s="169" t="s">
        <v>41</v>
      </c>
      <c r="L58" s="270">
        <v>0</v>
      </c>
      <c r="M58" s="169"/>
      <c r="N58" s="277"/>
      <c r="O58" s="278"/>
    </row>
    <row r="59" spans="1:14" ht="15" customHeight="1">
      <c r="A59" s="318"/>
      <c r="B59" s="318"/>
      <c r="C59" s="319"/>
      <c r="D59" s="95">
        <v>1</v>
      </c>
      <c r="E59" s="169"/>
      <c r="F59" s="169">
        <v>1</v>
      </c>
      <c r="G59" s="169">
        <v>1</v>
      </c>
      <c r="H59" s="262"/>
      <c r="I59" s="262"/>
      <c r="J59" s="169">
        <v>1945</v>
      </c>
      <c r="K59" s="169" t="s">
        <v>41</v>
      </c>
      <c r="L59" s="270"/>
      <c r="M59" s="169"/>
      <c r="N59" s="270">
        <v>925</v>
      </c>
    </row>
    <row r="60" spans="1:14" ht="15" customHeight="1">
      <c r="A60" s="318"/>
      <c r="B60" s="318"/>
      <c r="C60" s="319"/>
      <c r="D60" s="95">
        <v>1</v>
      </c>
      <c r="E60" s="169"/>
      <c r="F60" s="169">
        <v>1</v>
      </c>
      <c r="G60" s="169">
        <v>1</v>
      </c>
      <c r="H60" s="262"/>
      <c r="I60" s="262"/>
      <c r="J60" s="169">
        <v>1926</v>
      </c>
      <c r="K60" s="169" t="s">
        <v>41</v>
      </c>
      <c r="L60" s="273">
        <v>480</v>
      </c>
      <c r="M60" s="279"/>
      <c r="N60" s="262"/>
    </row>
    <row r="61" spans="1:15" ht="15" customHeight="1">
      <c r="A61" s="318"/>
      <c r="B61" s="318"/>
      <c r="C61" s="319"/>
      <c r="D61" s="95">
        <v>1</v>
      </c>
      <c r="E61" s="169">
        <v>1</v>
      </c>
      <c r="F61" s="169"/>
      <c r="G61" s="169">
        <v>1</v>
      </c>
      <c r="H61" s="262"/>
      <c r="I61" s="262"/>
      <c r="J61" s="232">
        <v>1921</v>
      </c>
      <c r="K61" s="169" t="s">
        <v>41</v>
      </c>
      <c r="L61" s="169"/>
      <c r="M61" s="55"/>
      <c r="N61" s="270">
        <v>1850</v>
      </c>
      <c r="O61" s="280"/>
    </row>
    <row r="62" spans="1:14" ht="15" customHeight="1">
      <c r="A62" s="318"/>
      <c r="B62" s="318"/>
      <c r="C62" s="319"/>
      <c r="D62" s="95">
        <v>1</v>
      </c>
      <c r="E62" s="169">
        <v>1</v>
      </c>
      <c r="F62" s="169"/>
      <c r="G62" s="169"/>
      <c r="H62" s="169"/>
      <c r="I62" s="169"/>
      <c r="J62" s="169">
        <v>1943</v>
      </c>
      <c r="L62" s="273">
        <v>480</v>
      </c>
      <c r="M62" s="169"/>
      <c r="N62" s="169"/>
    </row>
    <row r="63" spans="1:15" ht="15" customHeight="1">
      <c r="A63" s="318"/>
      <c r="B63" s="318"/>
      <c r="C63" s="319"/>
      <c r="D63" s="95">
        <v>1</v>
      </c>
      <c r="E63" s="169"/>
      <c r="F63" s="169">
        <v>1</v>
      </c>
      <c r="G63" s="169">
        <v>1</v>
      </c>
      <c r="H63" s="169"/>
      <c r="I63" s="169"/>
      <c r="J63" s="169">
        <v>1925</v>
      </c>
      <c r="K63" s="169" t="s">
        <v>41</v>
      </c>
      <c r="L63" s="270">
        <v>0</v>
      </c>
      <c r="M63" s="169"/>
      <c r="N63" s="270"/>
      <c r="O63" s="280"/>
    </row>
    <row r="64" spans="1:14" ht="15" customHeight="1">
      <c r="A64" s="318"/>
      <c r="B64" s="318"/>
      <c r="C64" s="319"/>
      <c r="D64" s="95">
        <v>1</v>
      </c>
      <c r="E64" s="169"/>
      <c r="F64" s="169">
        <v>1</v>
      </c>
      <c r="G64" s="169">
        <v>1</v>
      </c>
      <c r="H64" s="169"/>
      <c r="I64" s="169"/>
      <c r="J64" s="169">
        <v>1925</v>
      </c>
      <c r="K64" s="169" t="s">
        <v>41</v>
      </c>
      <c r="L64" s="270"/>
      <c r="M64" s="169"/>
      <c r="N64" s="270">
        <v>1550</v>
      </c>
    </row>
    <row r="65" spans="1:14" ht="15" customHeight="1">
      <c r="A65" s="318"/>
      <c r="B65" s="318"/>
      <c r="C65" s="319"/>
      <c r="D65" s="95">
        <v>1</v>
      </c>
      <c r="E65" s="169"/>
      <c r="F65" s="169">
        <v>1</v>
      </c>
      <c r="G65" s="169">
        <v>1</v>
      </c>
      <c r="H65" s="169"/>
      <c r="I65" s="169"/>
      <c r="J65" s="169">
        <v>1925</v>
      </c>
      <c r="K65" s="169" t="s">
        <v>41</v>
      </c>
      <c r="L65" s="270"/>
      <c r="M65" s="169"/>
      <c r="N65" s="270">
        <v>0</v>
      </c>
    </row>
    <row r="66" spans="1:14" ht="15" customHeight="1">
      <c r="A66" s="318"/>
      <c r="B66" s="318"/>
      <c r="C66" s="319"/>
      <c r="D66" s="95">
        <v>1</v>
      </c>
      <c r="E66" s="169"/>
      <c r="F66" s="169">
        <v>1</v>
      </c>
      <c r="G66" s="169">
        <v>1</v>
      </c>
      <c r="H66" s="169"/>
      <c r="I66" s="169"/>
      <c r="J66" s="169">
        <v>1925</v>
      </c>
      <c r="K66" s="169" t="s">
        <v>41</v>
      </c>
      <c r="L66" s="270"/>
      <c r="M66" s="169"/>
      <c r="N66" s="270">
        <v>1989.48</v>
      </c>
    </row>
    <row r="67" spans="1:14" ht="15" customHeight="1">
      <c r="A67" s="318"/>
      <c r="B67" s="321"/>
      <c r="C67" s="319"/>
      <c r="D67" s="95">
        <v>1</v>
      </c>
      <c r="E67" s="169"/>
      <c r="F67" s="169">
        <v>1</v>
      </c>
      <c r="G67" s="169">
        <v>1</v>
      </c>
      <c r="H67" s="262"/>
      <c r="I67" s="262"/>
      <c r="J67" s="232">
        <v>1932</v>
      </c>
      <c r="K67" s="169" t="s">
        <v>41</v>
      </c>
      <c r="L67" s="169"/>
      <c r="M67" s="262"/>
      <c r="N67" s="270">
        <v>1971.1</v>
      </c>
    </row>
    <row r="68" spans="1:14" ht="15" customHeight="1">
      <c r="A68" s="318"/>
      <c r="B68" s="318"/>
      <c r="C68" s="319"/>
      <c r="D68" s="95">
        <v>1</v>
      </c>
      <c r="E68" s="169"/>
      <c r="F68" s="169">
        <v>1</v>
      </c>
      <c r="G68" s="169">
        <v>1</v>
      </c>
      <c r="H68" s="169"/>
      <c r="I68" s="169"/>
      <c r="J68" s="232">
        <v>1927</v>
      </c>
      <c r="K68" s="169" t="s">
        <v>41</v>
      </c>
      <c r="L68" s="263"/>
      <c r="M68" s="55"/>
      <c r="N68" s="270">
        <v>250</v>
      </c>
    </row>
    <row r="69" spans="1:14" ht="15" customHeight="1">
      <c r="A69" s="318"/>
      <c r="B69" s="318"/>
      <c r="C69" s="319"/>
      <c r="D69" s="95">
        <v>1</v>
      </c>
      <c r="E69" s="169">
        <v>1</v>
      </c>
      <c r="F69" s="169"/>
      <c r="G69" s="169">
        <v>1</v>
      </c>
      <c r="H69" s="169"/>
      <c r="I69" s="169"/>
      <c r="J69" s="232">
        <v>1972</v>
      </c>
      <c r="K69" s="169" t="s">
        <v>41</v>
      </c>
      <c r="L69" s="263"/>
      <c r="M69" s="55"/>
      <c r="N69" s="270">
        <v>1850</v>
      </c>
    </row>
    <row r="70" spans="1:15" ht="15" customHeight="1">
      <c r="A70" s="318"/>
      <c r="B70" s="318"/>
      <c r="C70" s="319"/>
      <c r="D70" s="95">
        <v>1</v>
      </c>
      <c r="E70" s="169">
        <v>1</v>
      </c>
      <c r="F70" s="169"/>
      <c r="G70" s="169">
        <v>1</v>
      </c>
      <c r="H70" s="169"/>
      <c r="I70" s="169"/>
      <c r="J70" s="169"/>
      <c r="K70" s="169" t="s">
        <v>41</v>
      </c>
      <c r="L70" s="270">
        <v>0</v>
      </c>
      <c r="M70" s="263"/>
      <c r="N70" s="281"/>
      <c r="O70" s="276"/>
    </row>
    <row r="71" spans="1:14" ht="15" customHeight="1">
      <c r="A71" s="318"/>
      <c r="B71" s="318"/>
      <c r="C71" s="319"/>
      <c r="D71" s="95">
        <v>1</v>
      </c>
      <c r="E71" s="169"/>
      <c r="F71" s="169">
        <v>1</v>
      </c>
      <c r="G71" s="169">
        <v>1</v>
      </c>
      <c r="H71" s="262"/>
      <c r="I71" s="262"/>
      <c r="J71" s="232">
        <v>1931</v>
      </c>
      <c r="K71" s="263" t="s">
        <v>42</v>
      </c>
      <c r="L71" s="169"/>
      <c r="M71" s="270">
        <v>975</v>
      </c>
      <c r="N71" s="262"/>
    </row>
    <row r="72" spans="1:14" ht="15" customHeight="1">
      <c r="A72" s="318"/>
      <c r="B72" s="318"/>
      <c r="C72" s="319"/>
      <c r="D72" s="95">
        <v>1</v>
      </c>
      <c r="E72" s="169"/>
      <c r="F72" s="169">
        <v>1</v>
      </c>
      <c r="G72" s="169">
        <v>1</v>
      </c>
      <c r="H72" s="262"/>
      <c r="I72" s="262"/>
      <c r="J72" s="169"/>
      <c r="K72" s="263" t="s">
        <v>42</v>
      </c>
      <c r="L72" s="270">
        <v>0</v>
      </c>
      <c r="M72" s="169"/>
      <c r="N72" s="262"/>
    </row>
    <row r="73" spans="1:14" ht="15" customHeight="1">
      <c r="A73" s="318"/>
      <c r="B73" s="318"/>
      <c r="C73" s="319"/>
      <c r="D73" s="95">
        <v>1</v>
      </c>
      <c r="E73" s="169"/>
      <c r="F73" s="169">
        <v>1</v>
      </c>
      <c r="G73" s="169">
        <v>1</v>
      </c>
      <c r="H73" s="262"/>
      <c r="I73" s="262"/>
      <c r="J73" s="232">
        <v>1953</v>
      </c>
      <c r="K73" s="169" t="s">
        <v>41</v>
      </c>
      <c r="L73" s="169"/>
      <c r="M73" s="169"/>
      <c r="N73" s="270">
        <v>55.67</v>
      </c>
    </row>
    <row r="74" spans="1:14" ht="15" customHeight="1">
      <c r="A74" s="318"/>
      <c r="B74" s="318"/>
      <c r="C74" s="319"/>
      <c r="D74" s="95">
        <v>1</v>
      </c>
      <c r="E74" s="169">
        <v>1</v>
      </c>
      <c r="F74" s="169"/>
      <c r="G74" s="169">
        <v>1</v>
      </c>
      <c r="H74" s="169"/>
      <c r="I74" s="169"/>
      <c r="J74" s="169">
        <v>1933</v>
      </c>
      <c r="K74" s="169" t="s">
        <v>41</v>
      </c>
      <c r="L74" s="270">
        <v>0</v>
      </c>
      <c r="M74" s="169"/>
      <c r="N74" s="169"/>
    </row>
    <row r="75" spans="1:14" ht="15" customHeight="1">
      <c r="A75" s="318"/>
      <c r="B75" s="318"/>
      <c r="C75" s="319"/>
      <c r="D75" s="95">
        <v>1</v>
      </c>
      <c r="E75" s="169"/>
      <c r="F75" s="169">
        <v>1</v>
      </c>
      <c r="G75" s="169">
        <v>1</v>
      </c>
      <c r="H75" s="262"/>
      <c r="I75" s="262"/>
      <c r="J75" s="169">
        <v>1930</v>
      </c>
      <c r="K75" s="263" t="s">
        <v>42</v>
      </c>
      <c r="L75" s="270">
        <v>0</v>
      </c>
      <c r="M75" s="169"/>
      <c r="N75" s="169"/>
    </row>
    <row r="76" spans="1:14" ht="15" customHeight="1">
      <c r="A76" s="318"/>
      <c r="B76" s="318"/>
      <c r="C76" s="319"/>
      <c r="D76" s="95">
        <v>1</v>
      </c>
      <c r="E76" s="169"/>
      <c r="F76" s="169">
        <v>1</v>
      </c>
      <c r="G76" s="169">
        <v>1</v>
      </c>
      <c r="H76" s="262"/>
      <c r="I76" s="262"/>
      <c r="J76" s="232">
        <v>1961</v>
      </c>
      <c r="K76" s="263" t="s">
        <v>42</v>
      </c>
      <c r="L76" s="169"/>
      <c r="M76" s="270">
        <v>325</v>
      </c>
      <c r="N76" s="262"/>
    </row>
    <row r="77" spans="1:14" ht="15" customHeight="1">
      <c r="A77" s="318"/>
      <c r="B77" s="318"/>
      <c r="C77" s="319"/>
      <c r="D77" s="95">
        <v>1</v>
      </c>
      <c r="E77" s="169"/>
      <c r="F77" s="169">
        <v>1</v>
      </c>
      <c r="G77" s="169">
        <v>1</v>
      </c>
      <c r="H77" s="262"/>
      <c r="I77" s="262"/>
      <c r="J77" s="232">
        <v>1961</v>
      </c>
      <c r="K77" s="263" t="s">
        <v>42</v>
      </c>
      <c r="L77" s="169"/>
      <c r="M77" s="270">
        <v>0</v>
      </c>
      <c r="N77" s="262"/>
    </row>
    <row r="78" spans="1:14" ht="15" customHeight="1">
      <c r="A78" s="318"/>
      <c r="B78" s="318"/>
      <c r="C78" s="319"/>
      <c r="D78" s="95">
        <v>1</v>
      </c>
      <c r="E78" s="169"/>
      <c r="F78" s="169">
        <v>1</v>
      </c>
      <c r="G78" s="169">
        <v>1</v>
      </c>
      <c r="H78" s="262"/>
      <c r="I78" s="262"/>
      <c r="J78" s="232">
        <v>1961</v>
      </c>
      <c r="K78" s="263" t="s">
        <v>42</v>
      </c>
      <c r="L78" s="169"/>
      <c r="M78" s="270">
        <v>0</v>
      </c>
      <c r="N78" s="262"/>
    </row>
    <row r="79" spans="1:14" ht="15" customHeight="1">
      <c r="A79" s="318"/>
      <c r="B79" s="318"/>
      <c r="C79" s="319"/>
      <c r="D79" s="95">
        <v>1</v>
      </c>
      <c r="E79" s="169"/>
      <c r="F79" s="169">
        <v>1</v>
      </c>
      <c r="G79" s="169">
        <v>1</v>
      </c>
      <c r="H79" s="262"/>
      <c r="I79" s="262"/>
      <c r="J79" s="232">
        <v>1961</v>
      </c>
      <c r="K79" s="263" t="s">
        <v>42</v>
      </c>
      <c r="L79" s="169"/>
      <c r="M79" s="270">
        <v>0</v>
      </c>
      <c r="N79" s="262"/>
    </row>
    <row r="80" spans="1:14" ht="15" customHeight="1">
      <c r="A80" s="318"/>
      <c r="B80" s="318"/>
      <c r="C80" s="319"/>
      <c r="D80" s="95">
        <v>1</v>
      </c>
      <c r="E80" s="169"/>
      <c r="F80" s="169">
        <v>1</v>
      </c>
      <c r="G80" s="169">
        <v>1</v>
      </c>
      <c r="H80" s="262"/>
      <c r="I80" s="262"/>
      <c r="J80" s="232">
        <v>1961</v>
      </c>
      <c r="K80" s="263" t="s">
        <v>42</v>
      </c>
      <c r="L80" s="169"/>
      <c r="M80" s="270">
        <v>243.75</v>
      </c>
      <c r="N80" s="262"/>
    </row>
    <row r="81" spans="1:14" ht="15" customHeight="1">
      <c r="A81" s="318"/>
      <c r="B81" s="318"/>
      <c r="C81" s="319"/>
      <c r="D81" s="95">
        <v>1</v>
      </c>
      <c r="E81" s="169"/>
      <c r="F81" s="169">
        <v>1</v>
      </c>
      <c r="G81" s="169">
        <v>1</v>
      </c>
      <c r="H81" s="262"/>
      <c r="I81" s="262"/>
      <c r="J81" s="232">
        <v>1961</v>
      </c>
      <c r="K81" s="263" t="s">
        <v>42</v>
      </c>
      <c r="L81" s="169"/>
      <c r="M81" s="270">
        <v>121.87</v>
      </c>
      <c r="N81" s="262"/>
    </row>
    <row r="82" spans="1:14" ht="15" customHeight="1">
      <c r="A82" s="318"/>
      <c r="B82" s="318"/>
      <c r="C82" s="319"/>
      <c r="D82" s="95">
        <v>1</v>
      </c>
      <c r="E82" s="169"/>
      <c r="F82" s="169">
        <v>1</v>
      </c>
      <c r="G82" s="169">
        <v>1</v>
      </c>
      <c r="H82" s="262"/>
      <c r="I82" s="262"/>
      <c r="J82" s="232">
        <v>1961</v>
      </c>
      <c r="K82" s="263" t="s">
        <v>42</v>
      </c>
      <c r="L82" s="169"/>
      <c r="M82" s="270">
        <v>487.5</v>
      </c>
      <c r="N82" s="262"/>
    </row>
    <row r="83" spans="1:14" ht="15" customHeight="1">
      <c r="A83" s="318"/>
      <c r="B83" s="318"/>
      <c r="C83" s="319"/>
      <c r="D83" s="95">
        <v>1</v>
      </c>
      <c r="E83" s="169"/>
      <c r="F83" s="169">
        <v>1</v>
      </c>
      <c r="G83" s="169">
        <v>1</v>
      </c>
      <c r="H83" s="262"/>
      <c r="I83" s="262"/>
      <c r="J83" s="232">
        <v>1961</v>
      </c>
      <c r="K83" s="263" t="s">
        <v>42</v>
      </c>
      <c r="L83" s="169"/>
      <c r="M83" s="270">
        <v>487.5</v>
      </c>
      <c r="N83" s="262"/>
    </row>
    <row r="84" spans="1:14" ht="15" customHeight="1">
      <c r="A84" s="318"/>
      <c r="B84" s="318"/>
      <c r="C84" s="319"/>
      <c r="D84" s="95">
        <v>1</v>
      </c>
      <c r="E84" s="169"/>
      <c r="F84" s="169">
        <v>1</v>
      </c>
      <c r="G84" s="169">
        <v>1</v>
      </c>
      <c r="H84" s="262"/>
      <c r="I84" s="262"/>
      <c r="J84" s="65">
        <v>1952</v>
      </c>
      <c r="K84" s="169" t="s">
        <v>41</v>
      </c>
      <c r="L84" s="169"/>
      <c r="M84" s="56"/>
      <c r="N84" s="270">
        <v>1950</v>
      </c>
    </row>
    <row r="85" spans="1:14" ht="15" customHeight="1">
      <c r="A85" s="318"/>
      <c r="B85" s="318"/>
      <c r="C85" s="319"/>
      <c r="D85" s="95">
        <v>1</v>
      </c>
      <c r="E85" s="169"/>
      <c r="F85" s="169">
        <v>1</v>
      </c>
      <c r="G85" s="169">
        <v>1</v>
      </c>
      <c r="H85" s="169"/>
      <c r="I85" s="169"/>
      <c r="J85" s="282" t="e">
        <f>1900+MID(C85,7,2)</f>
        <v>#VALUE!</v>
      </c>
      <c r="K85" s="169" t="s">
        <v>41</v>
      </c>
      <c r="L85" s="270">
        <v>0</v>
      </c>
      <c r="M85" s="169"/>
      <c r="N85" s="169"/>
    </row>
    <row r="86" spans="1:14" ht="15" customHeight="1">
      <c r="A86" s="320"/>
      <c r="B86" s="320"/>
      <c r="C86" s="319"/>
      <c r="D86" s="95">
        <v>1</v>
      </c>
      <c r="E86" s="169"/>
      <c r="F86" s="169">
        <v>1</v>
      </c>
      <c r="G86" s="169">
        <v>1</v>
      </c>
      <c r="H86" s="262"/>
      <c r="I86" s="262"/>
      <c r="J86" s="282" t="e">
        <f>1900+MID(C86,7,2)</f>
        <v>#VALUE!</v>
      </c>
      <c r="K86" s="169" t="s">
        <v>41</v>
      </c>
      <c r="L86" s="270">
        <v>0</v>
      </c>
      <c r="M86" s="169"/>
      <c r="N86" s="262"/>
    </row>
    <row r="87" spans="1:14" ht="15" customHeight="1">
      <c r="A87" s="318"/>
      <c r="B87" s="318"/>
      <c r="C87" s="319"/>
      <c r="D87" s="95">
        <v>1</v>
      </c>
      <c r="E87" s="169"/>
      <c r="F87" s="169">
        <v>1</v>
      </c>
      <c r="G87" s="169">
        <v>1</v>
      </c>
      <c r="H87" s="262"/>
      <c r="I87" s="262"/>
      <c r="J87" s="282" t="e">
        <f>1900+MID(C87,7,2)</f>
        <v>#VALUE!</v>
      </c>
      <c r="K87" s="169" t="s">
        <v>41</v>
      </c>
      <c r="L87" s="270">
        <v>0</v>
      </c>
      <c r="M87" s="169"/>
      <c r="N87" s="262"/>
    </row>
    <row r="88" spans="1:14" ht="15" customHeight="1">
      <c r="A88" s="320"/>
      <c r="B88" s="320"/>
      <c r="C88" s="319"/>
      <c r="D88" s="95">
        <v>1</v>
      </c>
      <c r="E88" s="169"/>
      <c r="F88" s="169">
        <v>1</v>
      </c>
      <c r="G88" s="169">
        <v>1</v>
      </c>
      <c r="H88" s="262"/>
      <c r="I88" s="262"/>
      <c r="J88" s="282"/>
      <c r="K88" s="263" t="s">
        <v>42</v>
      </c>
      <c r="L88" s="270">
        <v>0</v>
      </c>
      <c r="M88" s="169"/>
      <c r="N88" s="262"/>
    </row>
    <row r="89" spans="1:14" ht="15" customHeight="1">
      <c r="A89" s="318"/>
      <c r="B89" s="318"/>
      <c r="C89" s="319"/>
      <c r="D89" s="95">
        <v>1</v>
      </c>
      <c r="E89" s="169">
        <v>1</v>
      </c>
      <c r="F89" s="169"/>
      <c r="G89" s="169">
        <v>1</v>
      </c>
      <c r="H89" s="262"/>
      <c r="I89" s="262"/>
      <c r="J89" s="282" t="e">
        <f>1900+MID(C89,7,2)</f>
        <v>#VALUE!</v>
      </c>
      <c r="K89" s="169" t="s">
        <v>41</v>
      </c>
      <c r="L89" s="270">
        <v>0</v>
      </c>
      <c r="M89" s="169"/>
      <c r="N89" s="262"/>
    </row>
    <row r="90" spans="1:14" s="283" customFormat="1" ht="15" customHeight="1">
      <c r="A90" s="313" t="s">
        <v>94</v>
      </c>
      <c r="B90" s="313"/>
      <c r="C90" s="60"/>
      <c r="D90" s="60">
        <f>SUM(D17:D89)</f>
        <v>72</v>
      </c>
      <c r="E90" s="60">
        <f>SUM(E17:E89)</f>
        <v>22</v>
      </c>
      <c r="F90" s="60">
        <f>SUM(F17:F89)</f>
        <v>50</v>
      </c>
      <c r="G90" s="60">
        <f>SUM(G17:G89)</f>
        <v>70</v>
      </c>
      <c r="H90" s="60">
        <f>SUM(H17:H89)</f>
        <v>1</v>
      </c>
      <c r="I90" s="60"/>
      <c r="J90" s="60"/>
      <c r="K90" s="60"/>
      <c r="L90" s="267">
        <f>SUM(L17:L89)</f>
        <v>4530</v>
      </c>
      <c r="M90" s="267">
        <f>SUM(M17:M89)</f>
        <v>8143.81</v>
      </c>
      <c r="N90" s="267">
        <f>SUM(N17:N89)</f>
        <v>16016.25</v>
      </c>
    </row>
    <row r="91" spans="1:14" ht="15" customHeight="1">
      <c r="A91" s="312" t="s">
        <v>79</v>
      </c>
      <c r="B91" s="312"/>
      <c r="C91" s="48"/>
      <c r="D91" s="48"/>
      <c r="E91" s="52"/>
      <c r="F91" s="52"/>
      <c r="G91" s="47"/>
      <c r="H91" s="47"/>
      <c r="I91" s="47"/>
      <c r="J91" s="52"/>
      <c r="K91" s="52"/>
      <c r="L91" s="51"/>
      <c r="M91" s="51"/>
      <c r="N91" s="51"/>
    </row>
    <row r="92" spans="1:14" ht="30" customHeight="1">
      <c r="A92" s="52" t="s">
        <v>28</v>
      </c>
      <c r="B92" s="52" t="s">
        <v>1</v>
      </c>
      <c r="C92" s="52" t="s">
        <v>3</v>
      </c>
      <c r="D92" s="51" t="s">
        <v>120</v>
      </c>
      <c r="E92" s="52" t="s">
        <v>90</v>
      </c>
      <c r="F92" s="52" t="s">
        <v>91</v>
      </c>
      <c r="G92" s="52" t="s">
        <v>140</v>
      </c>
      <c r="H92" s="52" t="s">
        <v>127</v>
      </c>
      <c r="I92" s="52" t="s">
        <v>159</v>
      </c>
      <c r="J92" s="52" t="s">
        <v>119</v>
      </c>
      <c r="K92" s="52" t="s">
        <v>183</v>
      </c>
      <c r="L92" s="52" t="s">
        <v>38</v>
      </c>
      <c r="M92" s="52" t="s">
        <v>39</v>
      </c>
      <c r="N92" s="52" t="s">
        <v>40</v>
      </c>
    </row>
    <row r="93" spans="1:14" ht="15" customHeight="1">
      <c r="A93" s="318"/>
      <c r="B93" s="318"/>
      <c r="C93" s="319"/>
      <c r="D93" s="95">
        <v>1</v>
      </c>
      <c r="E93" s="169">
        <v>1</v>
      </c>
      <c r="F93" s="169"/>
      <c r="G93" s="95">
        <v>1</v>
      </c>
      <c r="H93" s="262"/>
      <c r="I93" s="262"/>
      <c r="J93" s="169">
        <v>1927</v>
      </c>
      <c r="K93" s="169" t="s">
        <v>41</v>
      </c>
      <c r="L93" s="101">
        <v>480</v>
      </c>
      <c r="M93" s="169"/>
      <c r="N93" s="262"/>
    </row>
    <row r="94" spans="1:14" ht="15" customHeight="1">
      <c r="A94" s="318"/>
      <c r="B94" s="318"/>
      <c r="C94" s="319"/>
      <c r="D94" s="95">
        <v>1</v>
      </c>
      <c r="E94" s="169"/>
      <c r="F94" s="169">
        <v>1</v>
      </c>
      <c r="G94" s="95">
        <v>1</v>
      </c>
      <c r="H94" s="169"/>
      <c r="I94" s="169"/>
      <c r="J94" s="169">
        <v>1916</v>
      </c>
      <c r="K94" s="169" t="s">
        <v>41</v>
      </c>
      <c r="L94" s="101">
        <v>0</v>
      </c>
      <c r="M94" s="263"/>
      <c r="N94" s="264"/>
    </row>
    <row r="95" spans="1:14" ht="15" customHeight="1">
      <c r="A95" s="318"/>
      <c r="B95" s="318"/>
      <c r="C95" s="319"/>
      <c r="D95" s="95">
        <v>1</v>
      </c>
      <c r="E95" s="169"/>
      <c r="F95" s="169">
        <v>1</v>
      </c>
      <c r="G95" s="95">
        <v>1</v>
      </c>
      <c r="H95" s="262"/>
      <c r="I95" s="262"/>
      <c r="J95" s="169"/>
      <c r="K95" s="169" t="s">
        <v>41</v>
      </c>
      <c r="L95" s="101">
        <v>0</v>
      </c>
      <c r="M95" s="169"/>
      <c r="N95" s="169"/>
    </row>
    <row r="96" spans="1:14" ht="15" customHeight="1">
      <c r="A96" s="320"/>
      <c r="B96" s="320"/>
      <c r="C96" s="319"/>
      <c r="D96" s="95">
        <v>1</v>
      </c>
      <c r="E96" s="169">
        <v>1</v>
      </c>
      <c r="F96" s="169"/>
      <c r="G96" s="95">
        <v>1</v>
      </c>
      <c r="H96" s="169"/>
      <c r="I96" s="169"/>
      <c r="J96" s="169">
        <v>1921</v>
      </c>
      <c r="K96" s="169" t="s">
        <v>41</v>
      </c>
      <c r="L96" s="101">
        <v>0</v>
      </c>
      <c r="M96" s="263"/>
      <c r="N96" s="101">
        <v>0</v>
      </c>
    </row>
    <row r="97" spans="1:14" ht="15" customHeight="1">
      <c r="A97" s="320"/>
      <c r="B97" s="320"/>
      <c r="C97" s="319"/>
      <c r="D97" s="95">
        <v>1</v>
      </c>
      <c r="E97" s="169"/>
      <c r="F97" s="169">
        <v>1</v>
      </c>
      <c r="G97" s="95">
        <v>1</v>
      </c>
      <c r="H97" s="262"/>
      <c r="I97" s="262"/>
      <c r="J97" s="169">
        <v>1921</v>
      </c>
      <c r="K97" s="169" t="s">
        <v>41</v>
      </c>
      <c r="L97" s="101">
        <v>0</v>
      </c>
      <c r="M97" s="169"/>
      <c r="N97" s="262"/>
    </row>
    <row r="98" spans="1:14" ht="15" customHeight="1">
      <c r="A98" s="320"/>
      <c r="B98" s="320"/>
      <c r="C98" s="319"/>
      <c r="D98" s="95">
        <v>1</v>
      </c>
      <c r="E98" s="169"/>
      <c r="F98" s="169">
        <v>1</v>
      </c>
      <c r="G98" s="95">
        <v>1</v>
      </c>
      <c r="H98" s="262"/>
      <c r="I98" s="262"/>
      <c r="J98" s="169">
        <v>1928</v>
      </c>
      <c r="K98" s="169" t="s">
        <v>41</v>
      </c>
      <c r="L98" s="101">
        <v>0</v>
      </c>
      <c r="M98" s="169"/>
      <c r="N98" s="262"/>
    </row>
    <row r="99" spans="1:14" ht="15" customHeight="1">
      <c r="A99" s="320"/>
      <c r="B99" s="320"/>
      <c r="C99" s="319"/>
      <c r="D99" s="95">
        <v>1</v>
      </c>
      <c r="E99" s="169"/>
      <c r="F99" s="169">
        <v>1</v>
      </c>
      <c r="G99" s="95">
        <v>1</v>
      </c>
      <c r="H99" s="169"/>
      <c r="I99" s="169"/>
      <c r="J99" s="169">
        <v>1928</v>
      </c>
      <c r="K99" s="169" t="s">
        <v>41</v>
      </c>
      <c r="L99" s="101">
        <v>0</v>
      </c>
      <c r="M99" s="169"/>
      <c r="N99" s="262"/>
    </row>
    <row r="100" spans="1:14" ht="15" customHeight="1">
      <c r="A100" s="320"/>
      <c r="B100" s="320"/>
      <c r="C100" s="319"/>
      <c r="D100" s="95">
        <v>1</v>
      </c>
      <c r="E100" s="169"/>
      <c r="F100" s="169">
        <v>1</v>
      </c>
      <c r="G100" s="95">
        <v>1</v>
      </c>
      <c r="H100" s="262"/>
      <c r="I100" s="262"/>
      <c r="J100" s="169">
        <v>1929</v>
      </c>
      <c r="K100" s="169" t="s">
        <v>41</v>
      </c>
      <c r="L100" s="101">
        <v>0</v>
      </c>
      <c r="M100" s="101"/>
      <c r="N100" s="262"/>
    </row>
    <row r="101" spans="1:14" ht="15" customHeight="1">
      <c r="A101" s="318"/>
      <c r="B101" s="318"/>
      <c r="C101" s="319"/>
      <c r="D101" s="95">
        <v>1</v>
      </c>
      <c r="E101" s="169"/>
      <c r="F101" s="169">
        <v>1</v>
      </c>
      <c r="G101" s="95">
        <v>1</v>
      </c>
      <c r="H101" s="262"/>
      <c r="I101" s="262"/>
      <c r="J101" s="169">
        <v>1929</v>
      </c>
      <c r="K101" s="263" t="s">
        <v>42</v>
      </c>
      <c r="L101" s="101"/>
      <c r="M101" s="101">
        <v>1120.2</v>
      </c>
      <c r="N101" s="262"/>
    </row>
    <row r="102" spans="1:14" ht="15" customHeight="1">
      <c r="A102" s="318"/>
      <c r="B102" s="318"/>
      <c r="C102" s="319"/>
      <c r="D102" s="95">
        <v>1</v>
      </c>
      <c r="E102" s="169"/>
      <c r="F102" s="169">
        <v>1</v>
      </c>
      <c r="G102" s="95">
        <v>1</v>
      </c>
      <c r="H102" s="262"/>
      <c r="I102" s="262"/>
      <c r="J102" s="169">
        <v>1929</v>
      </c>
      <c r="K102" s="263" t="s">
        <v>42</v>
      </c>
      <c r="L102" s="101"/>
      <c r="M102" s="101">
        <v>729.56</v>
      </c>
      <c r="N102" s="262"/>
    </row>
    <row r="103" spans="1:14" ht="15" customHeight="1">
      <c r="A103" s="318"/>
      <c r="B103" s="318"/>
      <c r="C103" s="319"/>
      <c r="D103" s="95">
        <v>1</v>
      </c>
      <c r="E103" s="169"/>
      <c r="F103" s="169">
        <v>1</v>
      </c>
      <c r="G103" s="95">
        <v>1</v>
      </c>
      <c r="H103" s="262"/>
      <c r="I103" s="262"/>
      <c r="J103" s="169">
        <v>1929</v>
      </c>
      <c r="K103" s="263" t="s">
        <v>42</v>
      </c>
      <c r="L103" s="101"/>
      <c r="M103" s="101">
        <v>1305.63</v>
      </c>
      <c r="N103" s="262"/>
    </row>
    <row r="104" spans="1:14" ht="15" customHeight="1">
      <c r="A104" s="318"/>
      <c r="B104" s="318"/>
      <c r="C104" s="319"/>
      <c r="D104" s="95">
        <v>1</v>
      </c>
      <c r="E104" s="169"/>
      <c r="F104" s="169">
        <v>1</v>
      </c>
      <c r="G104" s="95">
        <v>1</v>
      </c>
      <c r="H104" s="169"/>
      <c r="I104" s="169"/>
      <c r="J104" s="169">
        <v>1926</v>
      </c>
      <c r="K104" s="169" t="s">
        <v>41</v>
      </c>
      <c r="L104" s="101">
        <v>0</v>
      </c>
      <c r="M104" s="263"/>
      <c r="N104" s="264"/>
    </row>
    <row r="105" spans="1:14" s="269" customFormat="1" ht="15" customHeight="1">
      <c r="A105" s="313" t="s">
        <v>95</v>
      </c>
      <c r="B105" s="313"/>
      <c r="C105" s="60"/>
      <c r="D105" s="60">
        <f>SUM(D93:D104)</f>
        <v>12</v>
      </c>
      <c r="E105" s="60">
        <f>SUM(E93:E104)</f>
        <v>2</v>
      </c>
      <c r="F105" s="60">
        <f>SUM(F93:F104)</f>
        <v>10</v>
      </c>
      <c r="G105" s="60">
        <f>SUM(G93:G104)</f>
        <v>12</v>
      </c>
      <c r="H105" s="60"/>
      <c r="I105" s="60"/>
      <c r="J105" s="60"/>
      <c r="K105" s="60"/>
      <c r="L105" s="268">
        <f>SUM(L93:L104)</f>
        <v>480</v>
      </c>
      <c r="M105" s="268">
        <f>SUM(M93:M104)</f>
        <v>3155.3900000000003</v>
      </c>
      <c r="N105" s="268">
        <f>SUM(N93:N104)</f>
        <v>0</v>
      </c>
    </row>
    <row r="106" spans="1:14" ht="15" customHeight="1">
      <c r="A106" s="312" t="s">
        <v>80</v>
      </c>
      <c r="B106" s="312"/>
      <c r="C106" s="48"/>
      <c r="D106" s="61"/>
      <c r="E106" s="261"/>
      <c r="F106" s="261"/>
      <c r="G106" s="50"/>
      <c r="H106" s="50"/>
      <c r="I106" s="50"/>
      <c r="J106" s="261"/>
      <c r="K106" s="261"/>
      <c r="L106" s="51"/>
      <c r="M106" s="51"/>
      <c r="N106" s="51"/>
    </row>
    <row r="107" spans="1:14" ht="30" customHeight="1">
      <c r="A107" s="52" t="s">
        <v>28</v>
      </c>
      <c r="B107" s="52" t="s">
        <v>1</v>
      </c>
      <c r="C107" s="52" t="s">
        <v>3</v>
      </c>
      <c r="D107" s="51" t="s">
        <v>120</v>
      </c>
      <c r="E107" s="52" t="s">
        <v>90</v>
      </c>
      <c r="F107" s="52" t="s">
        <v>91</v>
      </c>
      <c r="G107" s="52" t="s">
        <v>140</v>
      </c>
      <c r="H107" s="52" t="s">
        <v>127</v>
      </c>
      <c r="I107" s="52" t="s">
        <v>159</v>
      </c>
      <c r="J107" s="52" t="s">
        <v>119</v>
      </c>
      <c r="K107" s="52" t="s">
        <v>183</v>
      </c>
      <c r="L107" s="52" t="s">
        <v>38</v>
      </c>
      <c r="M107" s="52" t="s">
        <v>39</v>
      </c>
      <c r="N107" s="52" t="s">
        <v>40</v>
      </c>
    </row>
    <row r="108" spans="1:14" ht="15" customHeight="1">
      <c r="A108" s="318"/>
      <c r="B108" s="318"/>
      <c r="C108" s="319"/>
      <c r="D108" s="95">
        <v>1</v>
      </c>
      <c r="E108" s="169"/>
      <c r="F108" s="169">
        <v>1</v>
      </c>
      <c r="G108" s="169">
        <v>1</v>
      </c>
      <c r="H108" s="169"/>
      <c r="I108" s="169"/>
      <c r="J108" s="169">
        <v>1954</v>
      </c>
      <c r="K108" s="263" t="s">
        <v>42</v>
      </c>
      <c r="L108" s="273">
        <v>480</v>
      </c>
      <c r="M108" s="263"/>
      <c r="N108" s="284"/>
    </row>
    <row r="109" spans="1:14" ht="15" customHeight="1">
      <c r="A109" s="318"/>
      <c r="B109" s="318"/>
      <c r="C109" s="319"/>
      <c r="D109" s="95">
        <v>1</v>
      </c>
      <c r="E109" s="169">
        <v>1</v>
      </c>
      <c r="F109" s="262"/>
      <c r="G109" s="169">
        <v>1</v>
      </c>
      <c r="H109" s="169"/>
      <c r="I109" s="169"/>
      <c r="J109" s="169">
        <v>1925</v>
      </c>
      <c r="K109" s="169" t="s">
        <v>41</v>
      </c>
      <c r="L109" s="101">
        <v>0</v>
      </c>
      <c r="M109" s="263"/>
      <c r="N109" s="284"/>
    </row>
    <row r="110" spans="1:17" ht="15" customHeight="1">
      <c r="A110" s="320"/>
      <c r="B110" s="322"/>
      <c r="C110" s="323"/>
      <c r="D110" s="95">
        <v>1</v>
      </c>
      <c r="E110" s="169"/>
      <c r="F110" s="169">
        <v>1</v>
      </c>
      <c r="G110" s="169">
        <v>1</v>
      </c>
      <c r="H110" s="169"/>
      <c r="I110" s="169"/>
      <c r="J110" s="169">
        <v>1927</v>
      </c>
      <c r="K110" s="169" t="s">
        <v>41</v>
      </c>
      <c r="L110" s="101">
        <v>0</v>
      </c>
      <c r="M110" s="263"/>
      <c r="N110" s="284"/>
      <c r="Q110" s="44">
        <v>480</v>
      </c>
    </row>
    <row r="111" spans="1:17" ht="15" customHeight="1">
      <c r="A111" s="318"/>
      <c r="B111" s="318"/>
      <c r="C111" s="319"/>
      <c r="D111" s="95">
        <v>1</v>
      </c>
      <c r="E111" s="169"/>
      <c r="F111" s="169">
        <v>1</v>
      </c>
      <c r="G111" s="169">
        <v>1</v>
      </c>
      <c r="H111" s="169"/>
      <c r="I111" s="169"/>
      <c r="J111" s="169">
        <v>1925</v>
      </c>
      <c r="K111" s="169" t="s">
        <v>41</v>
      </c>
      <c r="L111" s="101">
        <v>0</v>
      </c>
      <c r="M111" s="263"/>
      <c r="N111" s="284"/>
      <c r="Q111" s="44">
        <v>200</v>
      </c>
    </row>
    <row r="112" spans="1:14" ht="15" customHeight="1">
      <c r="A112" s="318"/>
      <c r="B112" s="318"/>
      <c r="C112" s="319"/>
      <c r="D112" s="95">
        <v>1</v>
      </c>
      <c r="E112" s="169"/>
      <c r="F112" s="169">
        <v>1</v>
      </c>
      <c r="G112" s="169">
        <v>1</v>
      </c>
      <c r="H112" s="169"/>
      <c r="I112" s="169"/>
      <c r="J112" s="169">
        <v>1926</v>
      </c>
      <c r="K112" s="263" t="s">
        <v>42</v>
      </c>
      <c r="L112" s="101">
        <v>0</v>
      </c>
      <c r="M112" s="263"/>
      <c r="N112" s="284"/>
    </row>
    <row r="113" spans="1:14" ht="15" customHeight="1">
      <c r="A113" s="318"/>
      <c r="B113" s="318"/>
      <c r="C113" s="319"/>
      <c r="D113" s="169">
        <v>1</v>
      </c>
      <c r="E113" s="169"/>
      <c r="F113" s="169">
        <v>1</v>
      </c>
      <c r="G113" s="169">
        <v>1</v>
      </c>
      <c r="H113" s="262"/>
      <c r="I113" s="262"/>
      <c r="J113" s="169">
        <v>1927</v>
      </c>
      <c r="K113" s="169" t="s">
        <v>41</v>
      </c>
      <c r="L113" s="101">
        <v>0</v>
      </c>
      <c r="M113" s="169"/>
      <c r="N113" s="262"/>
    </row>
    <row r="114" spans="1:14" ht="15" customHeight="1">
      <c r="A114" s="318"/>
      <c r="B114" s="318"/>
      <c r="C114" s="319"/>
      <c r="D114" s="169">
        <v>1</v>
      </c>
      <c r="E114" s="169">
        <v>1</v>
      </c>
      <c r="F114" s="169"/>
      <c r="G114" s="169">
        <v>1</v>
      </c>
      <c r="H114" s="262"/>
      <c r="I114" s="262"/>
      <c r="J114" s="169">
        <v>1927</v>
      </c>
      <c r="K114" s="263" t="s">
        <v>42</v>
      </c>
      <c r="L114" s="101">
        <v>200</v>
      </c>
      <c r="M114" s="169"/>
      <c r="N114" s="262"/>
    </row>
    <row r="115" spans="1:14" s="269" customFormat="1" ht="15" customHeight="1">
      <c r="A115" s="313" t="s">
        <v>96</v>
      </c>
      <c r="B115" s="313"/>
      <c r="C115" s="60"/>
      <c r="D115" s="60">
        <f>SUM(D109:D113)</f>
        <v>5</v>
      </c>
      <c r="E115" s="60">
        <f>SUM(E109:E113)</f>
        <v>1</v>
      </c>
      <c r="F115" s="60">
        <f>SUM(F109:F113)</f>
        <v>4</v>
      </c>
      <c r="G115" s="60">
        <f>SUM(G109:G113)</f>
        <v>5</v>
      </c>
      <c r="H115" s="60"/>
      <c r="I115" s="60"/>
      <c r="J115" s="60"/>
      <c r="K115" s="60"/>
      <c r="L115" s="268">
        <f>SUM(L109:L113)</f>
        <v>0</v>
      </c>
      <c r="M115" s="268">
        <f>SUM(M109:M113)</f>
        <v>0</v>
      </c>
      <c r="N115" s="268">
        <f>SUM(N109:N113)</f>
        <v>0</v>
      </c>
    </row>
    <row r="116" spans="1:14" ht="15" customHeight="1">
      <c r="A116" s="312" t="s">
        <v>30</v>
      </c>
      <c r="B116" s="312"/>
      <c r="C116" s="48"/>
      <c r="D116" s="61"/>
      <c r="E116" s="261"/>
      <c r="F116" s="261"/>
      <c r="G116" s="50"/>
      <c r="H116" s="50"/>
      <c r="I116" s="50"/>
      <c r="J116" s="261"/>
      <c r="K116" s="261"/>
      <c r="L116" s="51"/>
      <c r="M116" s="51"/>
      <c r="N116" s="51"/>
    </row>
    <row r="117" spans="1:14" ht="30" customHeight="1">
      <c r="A117" s="52" t="s">
        <v>28</v>
      </c>
      <c r="B117" s="52" t="s">
        <v>1</v>
      </c>
      <c r="C117" s="52" t="s">
        <v>3</v>
      </c>
      <c r="D117" s="51" t="s">
        <v>120</v>
      </c>
      <c r="E117" s="52" t="s">
        <v>90</v>
      </c>
      <c r="F117" s="52" t="s">
        <v>91</v>
      </c>
      <c r="G117" s="52" t="s">
        <v>140</v>
      </c>
      <c r="H117" s="52" t="s">
        <v>127</v>
      </c>
      <c r="I117" s="52" t="s">
        <v>159</v>
      </c>
      <c r="J117" s="52" t="s">
        <v>119</v>
      </c>
      <c r="K117" s="52" t="s">
        <v>183</v>
      </c>
      <c r="L117" s="52" t="s">
        <v>38</v>
      </c>
      <c r="M117" s="52" t="s">
        <v>39</v>
      </c>
      <c r="N117" s="52" t="s">
        <v>40</v>
      </c>
    </row>
    <row r="118" spans="1:14" ht="15" customHeight="1">
      <c r="A118" s="318"/>
      <c r="B118" s="321"/>
      <c r="C118" s="324"/>
      <c r="D118" s="95">
        <v>1</v>
      </c>
      <c r="E118" s="169">
        <v>1</v>
      </c>
      <c r="F118" s="169"/>
      <c r="G118" s="95">
        <v>1</v>
      </c>
      <c r="H118" s="262"/>
      <c r="I118" s="262"/>
      <c r="J118" s="169">
        <v>1935</v>
      </c>
      <c r="K118" s="169" t="s">
        <v>41</v>
      </c>
      <c r="L118" s="270">
        <v>0</v>
      </c>
      <c r="M118" s="263"/>
      <c r="N118" s="262"/>
    </row>
    <row r="119" spans="1:14" ht="15" customHeight="1">
      <c r="A119" s="318"/>
      <c r="B119" s="321"/>
      <c r="C119" s="324"/>
      <c r="D119" s="169">
        <v>1</v>
      </c>
      <c r="E119" s="169">
        <v>1</v>
      </c>
      <c r="F119" s="169"/>
      <c r="G119" s="169">
        <v>1</v>
      </c>
      <c r="H119" s="262"/>
      <c r="I119" s="262"/>
      <c r="J119" s="169">
        <v>1974</v>
      </c>
      <c r="K119" s="263" t="s">
        <v>42</v>
      </c>
      <c r="L119" s="262"/>
      <c r="M119" s="270">
        <v>1500.75</v>
      </c>
      <c r="N119" s="175"/>
    </row>
    <row r="120" spans="1:14" ht="15" customHeight="1">
      <c r="A120" s="318"/>
      <c r="B120" s="321"/>
      <c r="C120" s="324"/>
      <c r="D120" s="95">
        <v>1</v>
      </c>
      <c r="E120" s="169">
        <v>1</v>
      </c>
      <c r="F120" s="169"/>
      <c r="G120" s="169">
        <v>1</v>
      </c>
      <c r="H120" s="169"/>
      <c r="I120" s="169"/>
      <c r="J120" s="169">
        <v>1929</v>
      </c>
      <c r="K120" s="263" t="s">
        <v>42</v>
      </c>
      <c r="L120" s="263"/>
      <c r="M120" s="270">
        <v>0</v>
      </c>
      <c r="N120" s="96"/>
    </row>
    <row r="121" spans="1:14" ht="15" customHeight="1">
      <c r="A121" s="318"/>
      <c r="B121" s="321"/>
      <c r="C121" s="324"/>
      <c r="D121" s="95">
        <v>1</v>
      </c>
      <c r="E121" s="169"/>
      <c r="F121" s="169">
        <v>1</v>
      </c>
      <c r="G121" s="95">
        <v>1</v>
      </c>
      <c r="H121" s="169"/>
      <c r="I121" s="169"/>
      <c r="J121" s="169">
        <v>1971</v>
      </c>
      <c r="K121" s="169" t="s">
        <v>41</v>
      </c>
      <c r="L121" s="270">
        <v>0</v>
      </c>
      <c r="M121" s="263"/>
      <c r="N121" s="264"/>
    </row>
    <row r="122" spans="1:14" ht="15" customHeight="1">
      <c r="A122" s="318"/>
      <c r="B122" s="321"/>
      <c r="C122" s="324"/>
      <c r="D122" s="95">
        <v>1</v>
      </c>
      <c r="E122" s="169">
        <v>1</v>
      </c>
      <c r="F122" s="169"/>
      <c r="G122" s="169">
        <v>1</v>
      </c>
      <c r="H122" s="169"/>
      <c r="I122" s="169"/>
      <c r="J122" s="169">
        <v>1934</v>
      </c>
      <c r="K122" s="263" t="s">
        <v>42</v>
      </c>
      <c r="L122" s="273">
        <v>480</v>
      </c>
      <c r="M122" s="55"/>
      <c r="N122" s="55"/>
    </row>
    <row r="123" spans="1:14" ht="15" customHeight="1">
      <c r="A123" s="318"/>
      <c r="B123" s="321"/>
      <c r="C123" s="324"/>
      <c r="D123" s="95">
        <v>1</v>
      </c>
      <c r="E123" s="169">
        <v>1</v>
      </c>
      <c r="F123" s="169"/>
      <c r="G123" s="95">
        <v>1</v>
      </c>
      <c r="H123" s="169"/>
      <c r="I123" s="169"/>
      <c r="J123" s="169">
        <v>1958</v>
      </c>
      <c r="K123" s="169" t="s">
        <v>41</v>
      </c>
      <c r="L123" s="270">
        <v>0</v>
      </c>
      <c r="M123" s="263"/>
      <c r="N123" s="264"/>
    </row>
    <row r="124" spans="1:14" ht="15" customHeight="1">
      <c r="A124" s="318"/>
      <c r="B124" s="321"/>
      <c r="C124" s="324"/>
      <c r="D124" s="95">
        <v>1</v>
      </c>
      <c r="E124" s="169">
        <v>1</v>
      </c>
      <c r="F124" s="169"/>
      <c r="G124" s="95">
        <v>1</v>
      </c>
      <c r="H124" s="262"/>
      <c r="I124" s="262"/>
      <c r="J124" s="169">
        <v>1944</v>
      </c>
      <c r="K124" s="169" t="s">
        <v>41</v>
      </c>
      <c r="L124" s="270">
        <v>0</v>
      </c>
      <c r="M124" s="263"/>
      <c r="N124" s="262"/>
    </row>
    <row r="125" spans="1:14" ht="15" customHeight="1">
      <c r="A125" s="318"/>
      <c r="B125" s="321"/>
      <c r="C125" s="324"/>
      <c r="D125" s="95">
        <v>1</v>
      </c>
      <c r="E125" s="169">
        <v>1</v>
      </c>
      <c r="F125" s="169"/>
      <c r="G125" s="95">
        <v>1</v>
      </c>
      <c r="H125" s="262"/>
      <c r="I125" s="262"/>
      <c r="J125" s="169">
        <v>1932</v>
      </c>
      <c r="K125" s="263" t="s">
        <v>42</v>
      </c>
      <c r="L125" s="274"/>
      <c r="M125" s="262"/>
      <c r="N125" s="262"/>
    </row>
    <row r="126" spans="1:14" ht="15" customHeight="1">
      <c r="A126" s="318"/>
      <c r="B126" s="321"/>
      <c r="C126" s="324"/>
      <c r="D126" s="95">
        <v>1</v>
      </c>
      <c r="E126" s="169">
        <v>1</v>
      </c>
      <c r="F126" s="169"/>
      <c r="G126" s="95">
        <v>1</v>
      </c>
      <c r="H126" s="169"/>
      <c r="I126" s="169"/>
      <c r="J126" s="169">
        <v>1957</v>
      </c>
      <c r="K126" s="169" t="s">
        <v>41</v>
      </c>
      <c r="L126" s="270">
        <v>0</v>
      </c>
      <c r="M126" s="263"/>
      <c r="N126" s="264"/>
    </row>
    <row r="127" spans="1:14" ht="15" customHeight="1">
      <c r="A127" s="318"/>
      <c r="B127" s="321"/>
      <c r="C127" s="324"/>
      <c r="D127" s="95">
        <v>1</v>
      </c>
      <c r="E127" s="169"/>
      <c r="F127" s="169">
        <v>1</v>
      </c>
      <c r="G127" s="95">
        <v>1</v>
      </c>
      <c r="H127" s="262"/>
      <c r="I127" s="262"/>
      <c r="J127" s="169">
        <v>1971</v>
      </c>
      <c r="K127" s="169" t="s">
        <v>41</v>
      </c>
      <c r="L127" s="270">
        <v>0</v>
      </c>
      <c r="M127" s="263"/>
      <c r="N127" s="262"/>
    </row>
    <row r="128" spans="1:14" ht="15" customHeight="1">
      <c r="A128" s="318"/>
      <c r="B128" s="321"/>
      <c r="C128" s="324"/>
      <c r="D128" s="95">
        <v>1</v>
      </c>
      <c r="E128" s="169"/>
      <c r="F128" s="169">
        <v>1</v>
      </c>
      <c r="G128" s="95">
        <v>1</v>
      </c>
      <c r="H128" s="262"/>
      <c r="I128" s="262"/>
      <c r="J128" s="169">
        <v>1929</v>
      </c>
      <c r="K128" s="169" t="s">
        <v>41</v>
      </c>
      <c r="L128" s="270">
        <v>0</v>
      </c>
      <c r="M128" s="263"/>
      <c r="N128" s="262"/>
    </row>
    <row r="129" spans="1:14" ht="15" customHeight="1">
      <c r="A129" s="318"/>
      <c r="B129" s="321"/>
      <c r="C129" s="324"/>
      <c r="D129" s="95">
        <v>1</v>
      </c>
      <c r="E129" s="169"/>
      <c r="F129" s="169">
        <v>1</v>
      </c>
      <c r="G129" s="95">
        <v>1</v>
      </c>
      <c r="H129" s="169"/>
      <c r="I129" s="169"/>
      <c r="J129" s="169">
        <v>1928</v>
      </c>
      <c r="K129" s="263" t="s">
        <v>42</v>
      </c>
      <c r="L129" s="270">
        <v>0</v>
      </c>
      <c r="M129" s="263"/>
      <c r="N129" s="264"/>
    </row>
    <row r="130" spans="1:14" ht="15" customHeight="1">
      <c r="A130" s="318"/>
      <c r="B130" s="321"/>
      <c r="C130" s="324"/>
      <c r="D130" s="95">
        <v>1</v>
      </c>
      <c r="E130" s="169"/>
      <c r="F130" s="169">
        <v>1</v>
      </c>
      <c r="G130" s="95">
        <v>1</v>
      </c>
      <c r="H130" s="169"/>
      <c r="I130" s="169"/>
      <c r="J130" s="169">
        <v>1958</v>
      </c>
      <c r="K130" s="169" t="s">
        <v>41</v>
      </c>
      <c r="L130" s="270">
        <v>0</v>
      </c>
      <c r="M130" s="263"/>
      <c r="N130" s="274"/>
    </row>
    <row r="131" spans="1:14" ht="15" customHeight="1">
      <c r="A131" s="318"/>
      <c r="B131" s="321"/>
      <c r="C131" s="319"/>
      <c r="D131" s="95">
        <v>1</v>
      </c>
      <c r="E131" s="169">
        <v>1</v>
      </c>
      <c r="F131" s="169"/>
      <c r="G131" s="169">
        <v>1</v>
      </c>
      <c r="H131" s="169"/>
      <c r="I131" s="169"/>
      <c r="J131" s="169">
        <v>1928</v>
      </c>
      <c r="K131" s="169" t="s">
        <v>41</v>
      </c>
      <c r="L131" s="263"/>
      <c r="M131" s="55"/>
      <c r="N131" s="270">
        <v>0</v>
      </c>
    </row>
    <row r="132" spans="1:14" ht="15" customHeight="1">
      <c r="A132" s="318"/>
      <c r="B132" s="321"/>
      <c r="C132" s="319"/>
      <c r="D132" s="95">
        <v>1</v>
      </c>
      <c r="E132" s="169">
        <v>1</v>
      </c>
      <c r="F132" s="169"/>
      <c r="G132" s="169">
        <v>1</v>
      </c>
      <c r="H132" s="169"/>
      <c r="I132" s="169"/>
      <c r="J132" s="169">
        <v>1928</v>
      </c>
      <c r="K132" s="169" t="s">
        <v>41</v>
      </c>
      <c r="L132" s="263"/>
      <c r="M132" s="55"/>
      <c r="N132" s="270">
        <v>0</v>
      </c>
    </row>
    <row r="133" spans="1:14" ht="15" customHeight="1">
      <c r="A133" s="318"/>
      <c r="B133" s="321"/>
      <c r="C133" s="319"/>
      <c r="D133" s="95">
        <v>1</v>
      </c>
      <c r="E133" s="169">
        <v>1</v>
      </c>
      <c r="F133" s="169"/>
      <c r="G133" s="169">
        <v>1</v>
      </c>
      <c r="H133" s="169"/>
      <c r="I133" s="169"/>
      <c r="J133" s="169">
        <v>1928</v>
      </c>
      <c r="K133" s="169" t="s">
        <v>41</v>
      </c>
      <c r="L133" s="263"/>
      <c r="M133" s="55"/>
      <c r="N133" s="270">
        <v>0</v>
      </c>
    </row>
    <row r="134" spans="1:14" ht="15" customHeight="1">
      <c r="A134" s="318"/>
      <c r="B134" s="321"/>
      <c r="C134" s="324"/>
      <c r="D134" s="95">
        <v>1</v>
      </c>
      <c r="E134" s="169">
        <v>1</v>
      </c>
      <c r="F134" s="169"/>
      <c r="G134" s="95">
        <v>1</v>
      </c>
      <c r="H134" s="169"/>
      <c r="I134" s="169"/>
      <c r="J134" s="169">
        <v>1959</v>
      </c>
      <c r="K134" s="169" t="s">
        <v>41</v>
      </c>
      <c r="L134" s="270">
        <v>0</v>
      </c>
      <c r="M134" s="263"/>
      <c r="N134" s="264"/>
    </row>
    <row r="135" spans="1:14" ht="15" customHeight="1">
      <c r="A135" s="318"/>
      <c r="B135" s="321"/>
      <c r="C135" s="324"/>
      <c r="D135" s="95">
        <v>1</v>
      </c>
      <c r="E135" s="169"/>
      <c r="F135" s="169">
        <v>1</v>
      </c>
      <c r="G135" s="95">
        <v>1</v>
      </c>
      <c r="H135" s="169"/>
      <c r="I135" s="169"/>
      <c r="J135" s="169">
        <v>1929</v>
      </c>
      <c r="K135" s="169" t="s">
        <v>41</v>
      </c>
      <c r="L135" s="270">
        <v>0</v>
      </c>
      <c r="M135" s="263"/>
      <c r="N135" s="264"/>
    </row>
    <row r="136" spans="1:14" ht="15" customHeight="1">
      <c r="A136" s="318"/>
      <c r="B136" s="321"/>
      <c r="C136" s="324"/>
      <c r="D136" s="95">
        <v>1</v>
      </c>
      <c r="E136" s="169">
        <v>1</v>
      </c>
      <c r="F136" s="169"/>
      <c r="G136" s="95">
        <v>1</v>
      </c>
      <c r="H136" s="262"/>
      <c r="I136" s="262"/>
      <c r="J136" s="169">
        <v>1976</v>
      </c>
      <c r="K136" s="169" t="s">
        <v>41</v>
      </c>
      <c r="L136" s="270">
        <v>0</v>
      </c>
      <c r="M136" s="263"/>
      <c r="N136" s="262"/>
    </row>
    <row r="137" spans="1:14" s="269" customFormat="1" ht="15" customHeight="1">
      <c r="A137" s="313" t="s">
        <v>31</v>
      </c>
      <c r="B137" s="313"/>
      <c r="C137" s="60"/>
      <c r="D137" s="60">
        <f>SUM(D118:D136)</f>
        <v>19</v>
      </c>
      <c r="E137" s="60">
        <f>SUM(E118:E136)</f>
        <v>13</v>
      </c>
      <c r="F137" s="60">
        <f>SUM(F118:F136)</f>
        <v>6</v>
      </c>
      <c r="G137" s="60">
        <f>SUM(G118:G136)</f>
        <v>19</v>
      </c>
      <c r="H137" s="60"/>
      <c r="I137" s="60"/>
      <c r="J137" s="60"/>
      <c r="K137" s="60"/>
      <c r="L137" s="268">
        <f>SUM(L118:L136)</f>
        <v>480</v>
      </c>
      <c r="M137" s="268">
        <f>SUM(M118:M136)</f>
        <v>1500.75</v>
      </c>
      <c r="N137" s="268">
        <f>SUM(N118:N136)</f>
        <v>0</v>
      </c>
    </row>
    <row r="138" spans="1:14" ht="15" customHeight="1">
      <c r="A138" s="312" t="s">
        <v>82</v>
      </c>
      <c r="B138" s="312"/>
      <c r="C138" s="48"/>
      <c r="D138" s="61"/>
      <c r="E138" s="261"/>
      <c r="F138" s="261"/>
      <c r="G138" s="50"/>
      <c r="H138" s="50"/>
      <c r="I138" s="50"/>
      <c r="J138" s="261"/>
      <c r="K138" s="261"/>
      <c r="L138" s="51"/>
      <c r="M138" s="51"/>
      <c r="N138" s="51"/>
    </row>
    <row r="139" spans="1:14" ht="30" customHeight="1">
      <c r="A139" s="52" t="s">
        <v>28</v>
      </c>
      <c r="B139" s="52" t="s">
        <v>1</v>
      </c>
      <c r="C139" s="52" t="s">
        <v>3</v>
      </c>
      <c r="D139" s="51" t="s">
        <v>120</v>
      </c>
      <c r="E139" s="52" t="s">
        <v>90</v>
      </c>
      <c r="F139" s="52" t="s">
        <v>91</v>
      </c>
      <c r="G139" s="52" t="s">
        <v>140</v>
      </c>
      <c r="H139" s="52" t="s">
        <v>127</v>
      </c>
      <c r="I139" s="52" t="s">
        <v>159</v>
      </c>
      <c r="J139" s="52" t="s">
        <v>119</v>
      </c>
      <c r="K139" s="52" t="s">
        <v>183</v>
      </c>
      <c r="L139" s="52" t="s">
        <v>38</v>
      </c>
      <c r="M139" s="52" t="s">
        <v>39</v>
      </c>
      <c r="N139" s="52" t="s">
        <v>40</v>
      </c>
    </row>
    <row r="140" spans="1:14" ht="15" customHeight="1">
      <c r="A140" s="318"/>
      <c r="B140" s="318"/>
      <c r="C140" s="319"/>
      <c r="D140" s="95">
        <v>1</v>
      </c>
      <c r="E140" s="169">
        <v>1</v>
      </c>
      <c r="F140" s="169"/>
      <c r="G140" s="169">
        <v>1</v>
      </c>
      <c r="H140" s="169"/>
      <c r="I140" s="169"/>
      <c r="J140" s="169">
        <v>1928</v>
      </c>
      <c r="K140" s="169" t="s">
        <v>41</v>
      </c>
      <c r="L140" s="101">
        <v>0</v>
      </c>
      <c r="M140" s="263"/>
      <c r="N140" s="264"/>
    </row>
    <row r="141" spans="1:14" ht="15" customHeight="1">
      <c r="A141" s="318"/>
      <c r="B141" s="318"/>
      <c r="C141" s="319"/>
      <c r="D141" s="95">
        <v>1</v>
      </c>
      <c r="E141" s="169"/>
      <c r="F141" s="169">
        <v>1</v>
      </c>
      <c r="G141" s="169">
        <v>1</v>
      </c>
      <c r="H141" s="169"/>
      <c r="I141" s="169"/>
      <c r="J141" s="169">
        <v>1920</v>
      </c>
      <c r="K141" s="169" t="s">
        <v>41</v>
      </c>
      <c r="L141" s="101">
        <v>0</v>
      </c>
      <c r="M141" s="263"/>
      <c r="N141" s="264"/>
    </row>
    <row r="142" spans="1:14" ht="15" customHeight="1">
      <c r="A142" s="318"/>
      <c r="B142" s="318"/>
      <c r="C142" s="319"/>
      <c r="D142" s="169">
        <v>1</v>
      </c>
      <c r="E142" s="169">
        <v>1</v>
      </c>
      <c r="F142" s="169"/>
      <c r="G142" s="169">
        <v>1</v>
      </c>
      <c r="H142" s="262"/>
      <c r="I142" s="262"/>
      <c r="J142" s="169">
        <v>1948</v>
      </c>
      <c r="K142" s="169" t="s">
        <v>41</v>
      </c>
      <c r="L142" s="101">
        <v>0</v>
      </c>
      <c r="M142" s="169"/>
      <c r="N142" s="262"/>
    </row>
    <row r="143" spans="1:14" ht="15" customHeight="1">
      <c r="A143" s="318"/>
      <c r="B143" s="318"/>
      <c r="C143" s="319"/>
      <c r="D143" s="95">
        <v>1</v>
      </c>
      <c r="E143" s="169"/>
      <c r="F143" s="169">
        <v>1</v>
      </c>
      <c r="G143" s="169">
        <v>1</v>
      </c>
      <c r="H143" s="169"/>
      <c r="I143" s="169"/>
      <c r="J143" s="169">
        <v>1959</v>
      </c>
      <c r="K143" s="169" t="s">
        <v>41</v>
      </c>
      <c r="L143" s="101">
        <v>0</v>
      </c>
      <c r="M143" s="263"/>
      <c r="N143" s="264"/>
    </row>
    <row r="144" spans="1:14" ht="15" customHeight="1">
      <c r="A144" s="318"/>
      <c r="B144" s="318"/>
      <c r="C144" s="319"/>
      <c r="D144" s="95">
        <v>1</v>
      </c>
      <c r="E144" s="169">
        <v>1</v>
      </c>
      <c r="F144" s="169"/>
      <c r="G144" s="169">
        <v>1</v>
      </c>
      <c r="H144" s="169"/>
      <c r="I144" s="169"/>
      <c r="J144" s="169">
        <v>1961</v>
      </c>
      <c r="K144" s="263" t="s">
        <v>42</v>
      </c>
      <c r="L144" s="101">
        <v>0</v>
      </c>
      <c r="M144" s="263"/>
      <c r="N144" s="264"/>
    </row>
    <row r="145" spans="1:14" s="269" customFormat="1" ht="15" customHeight="1">
      <c r="A145" s="313" t="s">
        <v>29</v>
      </c>
      <c r="B145" s="313"/>
      <c r="C145" s="60"/>
      <c r="D145" s="60">
        <f>SUM(D140:D144)</f>
        <v>5</v>
      </c>
      <c r="E145" s="60">
        <v>3</v>
      </c>
      <c r="F145" s="60">
        <v>2</v>
      </c>
      <c r="G145" s="60">
        <v>5</v>
      </c>
      <c r="H145" s="60"/>
      <c r="I145" s="60"/>
      <c r="J145" s="60"/>
      <c r="K145" s="60"/>
      <c r="L145" s="268">
        <f>SUM(L140:L144)</f>
        <v>0</v>
      </c>
      <c r="M145" s="268">
        <f>SUM(M140:M144)</f>
        <v>0</v>
      </c>
      <c r="N145" s="268">
        <f>SUM(N140:N144)</f>
        <v>0</v>
      </c>
    </row>
    <row r="146" spans="1:14" ht="15" customHeight="1">
      <c r="A146" s="312" t="s">
        <v>83</v>
      </c>
      <c r="B146" s="312"/>
      <c r="C146" s="48"/>
      <c r="D146" s="61"/>
      <c r="E146" s="261"/>
      <c r="F146" s="261"/>
      <c r="G146" s="50"/>
      <c r="H146" s="50"/>
      <c r="I146" s="50"/>
      <c r="J146" s="261"/>
      <c r="K146" s="261"/>
      <c r="L146" s="51"/>
      <c r="M146" s="51"/>
      <c r="N146" s="51"/>
    </row>
    <row r="147" spans="1:14" ht="30" customHeight="1">
      <c r="A147" s="52" t="s">
        <v>28</v>
      </c>
      <c r="B147" s="52" t="s">
        <v>1</v>
      </c>
      <c r="C147" s="52" t="s">
        <v>3</v>
      </c>
      <c r="D147" s="51" t="s">
        <v>120</v>
      </c>
      <c r="E147" s="52" t="s">
        <v>90</v>
      </c>
      <c r="F147" s="52" t="s">
        <v>91</v>
      </c>
      <c r="G147" s="52" t="s">
        <v>140</v>
      </c>
      <c r="H147" s="52" t="s">
        <v>127</v>
      </c>
      <c r="I147" s="52" t="s">
        <v>159</v>
      </c>
      <c r="J147" s="52" t="s">
        <v>119</v>
      </c>
      <c r="K147" s="52" t="s">
        <v>183</v>
      </c>
      <c r="L147" s="52" t="s">
        <v>38</v>
      </c>
      <c r="M147" s="52" t="s">
        <v>39</v>
      </c>
      <c r="N147" s="52" t="s">
        <v>40</v>
      </c>
    </row>
    <row r="148" spans="1:14" ht="15" customHeight="1">
      <c r="A148" s="318"/>
      <c r="B148" s="321"/>
      <c r="C148" s="325"/>
      <c r="D148" s="95">
        <v>1</v>
      </c>
      <c r="E148" s="169"/>
      <c r="F148" s="169">
        <v>1</v>
      </c>
      <c r="G148" s="95">
        <v>1</v>
      </c>
      <c r="H148" s="262"/>
      <c r="I148" s="262"/>
      <c r="J148" s="169">
        <v>1923</v>
      </c>
      <c r="K148" s="169" t="s">
        <v>41</v>
      </c>
      <c r="L148" s="270">
        <v>0</v>
      </c>
      <c r="M148" s="169"/>
      <c r="N148" s="262"/>
    </row>
    <row r="149" spans="1:14" ht="15" customHeight="1">
      <c r="A149" s="318"/>
      <c r="B149" s="321"/>
      <c r="C149" s="325"/>
      <c r="D149" s="95">
        <v>1</v>
      </c>
      <c r="E149" s="169"/>
      <c r="F149" s="169">
        <v>1</v>
      </c>
      <c r="G149" s="95">
        <v>1</v>
      </c>
      <c r="H149" s="262"/>
      <c r="I149" s="262"/>
      <c r="J149" s="169">
        <v>1928</v>
      </c>
      <c r="K149" s="169" t="s">
        <v>41</v>
      </c>
      <c r="L149" s="270">
        <v>0</v>
      </c>
      <c r="M149" s="169"/>
      <c r="N149" s="262"/>
    </row>
    <row r="150" spans="1:14" ht="15" customHeight="1">
      <c r="A150" s="318"/>
      <c r="B150" s="321"/>
      <c r="C150" s="325"/>
      <c r="D150" s="95">
        <v>1</v>
      </c>
      <c r="E150" s="169"/>
      <c r="F150" s="169">
        <v>1</v>
      </c>
      <c r="G150" s="95">
        <v>1</v>
      </c>
      <c r="H150" s="262"/>
      <c r="I150" s="262"/>
      <c r="J150" s="169">
        <v>1925</v>
      </c>
      <c r="K150" s="169" t="s">
        <v>41</v>
      </c>
      <c r="L150" s="270">
        <v>0</v>
      </c>
      <c r="M150" s="169"/>
      <c r="N150" s="262"/>
    </row>
    <row r="151" spans="1:14" ht="15" customHeight="1">
      <c r="A151" s="318"/>
      <c r="B151" s="321"/>
      <c r="C151" s="325"/>
      <c r="D151" s="95">
        <v>1</v>
      </c>
      <c r="E151" s="169"/>
      <c r="F151" s="169">
        <v>1</v>
      </c>
      <c r="G151" s="95">
        <v>1</v>
      </c>
      <c r="H151" s="262"/>
      <c r="I151" s="262"/>
      <c r="J151" s="169">
        <v>1923</v>
      </c>
      <c r="K151" s="169" t="s">
        <v>41</v>
      </c>
      <c r="L151" s="270">
        <v>0</v>
      </c>
      <c r="M151" s="169"/>
      <c r="N151" s="262"/>
    </row>
    <row r="152" spans="1:14" ht="15" customHeight="1">
      <c r="A152" s="318"/>
      <c r="B152" s="321"/>
      <c r="C152" s="325"/>
      <c r="D152" s="95">
        <v>1</v>
      </c>
      <c r="E152" s="169"/>
      <c r="F152" s="169">
        <v>1</v>
      </c>
      <c r="G152" s="95">
        <v>1</v>
      </c>
      <c r="H152" s="169"/>
      <c r="I152" s="169"/>
      <c r="J152" s="169">
        <v>1925</v>
      </c>
      <c r="K152" s="169" t="s">
        <v>41</v>
      </c>
      <c r="L152" s="270">
        <v>0</v>
      </c>
      <c r="M152" s="169"/>
      <c r="N152" s="264"/>
    </row>
    <row r="153" spans="1:14" ht="15" customHeight="1">
      <c r="A153" s="318"/>
      <c r="B153" s="321"/>
      <c r="C153" s="325"/>
      <c r="D153" s="95">
        <v>1</v>
      </c>
      <c r="E153" s="169"/>
      <c r="F153" s="169">
        <v>1</v>
      </c>
      <c r="G153" s="95">
        <v>1</v>
      </c>
      <c r="H153" s="169"/>
      <c r="I153" s="169"/>
      <c r="J153" s="169">
        <v>1927</v>
      </c>
      <c r="K153" s="169" t="s">
        <v>41</v>
      </c>
      <c r="L153" s="270">
        <v>0</v>
      </c>
      <c r="M153" s="169"/>
      <c r="N153" s="264"/>
    </row>
    <row r="154" spans="1:14" ht="15" customHeight="1">
      <c r="A154" s="318"/>
      <c r="B154" s="321"/>
      <c r="C154" s="325"/>
      <c r="D154" s="95">
        <v>1</v>
      </c>
      <c r="E154" s="169">
        <v>1</v>
      </c>
      <c r="F154" s="169"/>
      <c r="G154" s="95">
        <v>1</v>
      </c>
      <c r="H154" s="262"/>
      <c r="I154" s="262"/>
      <c r="J154" s="169">
        <v>1922</v>
      </c>
      <c r="K154" s="169" t="s">
        <v>41</v>
      </c>
      <c r="L154" s="270">
        <v>0</v>
      </c>
      <c r="M154" s="169"/>
      <c r="N154" s="262"/>
    </row>
    <row r="155" spans="1:14" ht="15" customHeight="1">
      <c r="A155" s="320"/>
      <c r="B155" s="322"/>
      <c r="C155" s="325"/>
      <c r="D155" s="95">
        <v>1</v>
      </c>
      <c r="E155" s="169">
        <v>1</v>
      </c>
      <c r="F155" s="169"/>
      <c r="G155" s="95">
        <v>1</v>
      </c>
      <c r="H155" s="262"/>
      <c r="I155" s="262"/>
      <c r="J155" s="169">
        <v>1921</v>
      </c>
      <c r="K155" s="169" t="s">
        <v>41</v>
      </c>
      <c r="L155" s="270">
        <v>0</v>
      </c>
      <c r="M155" s="169"/>
      <c r="N155" s="262"/>
    </row>
    <row r="156" spans="1:14" ht="15" customHeight="1">
      <c r="A156" s="320"/>
      <c r="B156" s="322"/>
      <c r="C156" s="325"/>
      <c r="D156" s="95"/>
      <c r="E156" s="169"/>
      <c r="F156" s="169"/>
      <c r="G156" s="95"/>
      <c r="H156" s="262"/>
      <c r="I156" s="262"/>
      <c r="J156" s="169"/>
      <c r="K156" s="169" t="s">
        <v>41</v>
      </c>
      <c r="L156" s="270"/>
      <c r="M156" s="169"/>
      <c r="N156" s="286">
        <v>700</v>
      </c>
    </row>
    <row r="157" spans="1:14" ht="15" customHeight="1">
      <c r="A157" s="318"/>
      <c r="B157" s="321"/>
      <c r="C157" s="325"/>
      <c r="D157" s="95">
        <v>1</v>
      </c>
      <c r="E157" s="169"/>
      <c r="F157" s="169">
        <v>1</v>
      </c>
      <c r="G157" s="95">
        <v>1</v>
      </c>
      <c r="H157" s="262"/>
      <c r="I157" s="262"/>
      <c r="J157" s="169">
        <v>1933</v>
      </c>
      <c r="K157" s="169" t="s">
        <v>41</v>
      </c>
      <c r="L157" s="270">
        <v>0</v>
      </c>
      <c r="M157" s="169"/>
      <c r="N157" s="262"/>
    </row>
    <row r="158" spans="1:14" ht="15" customHeight="1">
      <c r="A158" s="318"/>
      <c r="B158" s="321"/>
      <c r="C158" s="325"/>
      <c r="D158" s="95">
        <v>1</v>
      </c>
      <c r="E158" s="169"/>
      <c r="F158" s="169">
        <v>1</v>
      </c>
      <c r="G158" s="95">
        <v>1</v>
      </c>
      <c r="H158" s="262"/>
      <c r="I158" s="262"/>
      <c r="J158" s="169">
        <v>1940</v>
      </c>
      <c r="K158" s="169" t="s">
        <v>41</v>
      </c>
      <c r="L158" s="270">
        <v>0</v>
      </c>
      <c r="M158" s="169"/>
      <c r="N158" s="262"/>
    </row>
    <row r="159" spans="1:14" ht="15" customHeight="1">
      <c r="A159" s="318"/>
      <c r="B159" s="321"/>
      <c r="C159" s="325"/>
      <c r="D159" s="95">
        <v>1</v>
      </c>
      <c r="E159" s="169">
        <v>1</v>
      </c>
      <c r="F159" s="169"/>
      <c r="G159" s="95">
        <v>1</v>
      </c>
      <c r="H159" s="262"/>
      <c r="I159" s="262"/>
      <c r="J159" s="169">
        <v>1915</v>
      </c>
      <c r="K159" s="169" t="s">
        <v>41</v>
      </c>
      <c r="L159" s="270">
        <v>0</v>
      </c>
      <c r="M159" s="169"/>
      <c r="N159" s="262"/>
    </row>
    <row r="160" spans="1:14" ht="15" customHeight="1">
      <c r="A160" s="318"/>
      <c r="B160" s="321"/>
      <c r="C160" s="325"/>
      <c r="D160" s="95">
        <v>1</v>
      </c>
      <c r="E160" s="169"/>
      <c r="F160" s="169">
        <v>1</v>
      </c>
      <c r="G160" s="95">
        <v>1</v>
      </c>
      <c r="H160" s="262"/>
      <c r="I160" s="262"/>
      <c r="J160" s="169">
        <v>1923</v>
      </c>
      <c r="K160" s="263" t="s">
        <v>42</v>
      </c>
      <c r="L160" s="270">
        <v>0</v>
      </c>
      <c r="M160" s="275"/>
      <c r="N160" s="274"/>
    </row>
    <row r="161" spans="1:14" ht="15" customHeight="1">
      <c r="A161" s="318"/>
      <c r="B161" s="321"/>
      <c r="C161" s="325"/>
      <c r="D161" s="95">
        <v>1</v>
      </c>
      <c r="E161" s="169"/>
      <c r="F161" s="169">
        <v>1</v>
      </c>
      <c r="G161" s="95">
        <v>1</v>
      </c>
      <c r="H161" s="262"/>
      <c r="I161" s="262"/>
      <c r="J161" s="169">
        <v>1923</v>
      </c>
      <c r="K161" s="263" t="s">
        <v>42</v>
      </c>
      <c r="L161" s="270"/>
      <c r="M161" s="270">
        <v>650</v>
      </c>
      <c r="N161" s="274"/>
    </row>
    <row r="162" spans="1:14" ht="15" customHeight="1">
      <c r="A162" s="318"/>
      <c r="B162" s="321"/>
      <c r="C162" s="325"/>
      <c r="D162" s="95">
        <v>1</v>
      </c>
      <c r="E162" s="169"/>
      <c r="F162" s="169">
        <v>1</v>
      </c>
      <c r="G162" s="95">
        <v>1</v>
      </c>
      <c r="H162" s="262"/>
      <c r="I162" s="262"/>
      <c r="J162" s="169">
        <v>1923</v>
      </c>
      <c r="K162" s="263" t="s">
        <v>42</v>
      </c>
      <c r="L162" s="270"/>
      <c r="M162" s="270">
        <v>162.5</v>
      </c>
      <c r="N162" s="274"/>
    </row>
    <row r="163" spans="1:14" ht="15" customHeight="1">
      <c r="A163" s="318"/>
      <c r="B163" s="321"/>
      <c r="C163" s="325"/>
      <c r="D163" s="95">
        <v>1</v>
      </c>
      <c r="E163" s="169"/>
      <c r="F163" s="169">
        <v>1</v>
      </c>
      <c r="G163" s="95">
        <v>1</v>
      </c>
      <c r="H163" s="262"/>
      <c r="I163" s="262"/>
      <c r="J163" s="169">
        <v>1933</v>
      </c>
      <c r="K163" s="169" t="s">
        <v>41</v>
      </c>
      <c r="L163" s="270">
        <v>0</v>
      </c>
      <c r="M163" s="169"/>
      <c r="N163" s="262"/>
    </row>
    <row r="164" spans="1:14" ht="15" customHeight="1">
      <c r="A164" s="318"/>
      <c r="B164" s="321"/>
      <c r="C164" s="326"/>
      <c r="D164" s="95">
        <v>1</v>
      </c>
      <c r="E164" s="95">
        <v>1</v>
      </c>
      <c r="F164" s="95"/>
      <c r="G164" s="95">
        <v>1</v>
      </c>
      <c r="H164" s="95"/>
      <c r="I164" s="262"/>
      <c r="J164" s="175"/>
      <c r="K164" s="169" t="s">
        <v>41</v>
      </c>
      <c r="L164" s="169"/>
      <c r="M164" s="55"/>
      <c r="N164" s="270">
        <v>350</v>
      </c>
    </row>
    <row r="165" spans="1:14" ht="15" customHeight="1">
      <c r="A165" s="318"/>
      <c r="B165" s="321"/>
      <c r="C165" s="326"/>
      <c r="D165" s="95">
        <v>1</v>
      </c>
      <c r="E165" s="95">
        <v>1</v>
      </c>
      <c r="F165" s="95"/>
      <c r="G165" s="95">
        <v>1</v>
      </c>
      <c r="H165" s="95"/>
      <c r="I165" s="262"/>
      <c r="J165" s="175"/>
      <c r="K165" s="169" t="s">
        <v>41</v>
      </c>
      <c r="L165" s="169"/>
      <c r="M165" s="55"/>
      <c r="N165" s="270">
        <v>350</v>
      </c>
    </row>
    <row r="166" spans="1:14" ht="15" customHeight="1">
      <c r="A166" s="318"/>
      <c r="B166" s="321"/>
      <c r="C166" s="325"/>
      <c r="D166" s="95">
        <v>1</v>
      </c>
      <c r="E166" s="169"/>
      <c r="F166" s="169">
        <v>1</v>
      </c>
      <c r="G166" s="95">
        <v>1</v>
      </c>
      <c r="H166" s="262"/>
      <c r="I166" s="262"/>
      <c r="J166" s="169">
        <v>1924</v>
      </c>
      <c r="K166" s="169" t="s">
        <v>41</v>
      </c>
      <c r="L166" s="270">
        <v>0</v>
      </c>
      <c r="M166" s="274"/>
      <c r="N166" s="274"/>
    </row>
    <row r="167" spans="1:14" ht="15" customHeight="1">
      <c r="A167" s="318"/>
      <c r="B167" s="321"/>
      <c r="C167" s="325"/>
      <c r="D167" s="95">
        <v>1</v>
      </c>
      <c r="E167" s="169"/>
      <c r="F167" s="169">
        <v>1</v>
      </c>
      <c r="G167" s="95">
        <v>1</v>
      </c>
      <c r="H167" s="262"/>
      <c r="I167" s="262"/>
      <c r="J167" s="169">
        <v>1924</v>
      </c>
      <c r="K167" s="169" t="s">
        <v>41</v>
      </c>
      <c r="L167" s="270"/>
      <c r="M167" s="274"/>
      <c r="N167" s="270">
        <v>0</v>
      </c>
    </row>
    <row r="168" spans="1:14" ht="15" customHeight="1">
      <c r="A168" s="318"/>
      <c r="B168" s="321"/>
      <c r="C168" s="325"/>
      <c r="D168" s="95">
        <v>1</v>
      </c>
      <c r="E168" s="169">
        <v>1</v>
      </c>
      <c r="F168" s="169"/>
      <c r="G168" s="95">
        <v>1</v>
      </c>
      <c r="H168" s="262"/>
      <c r="I168" s="262"/>
      <c r="J168" s="169">
        <v>1930</v>
      </c>
      <c r="K168" s="169" t="s">
        <v>41</v>
      </c>
      <c r="L168" s="270">
        <v>0</v>
      </c>
      <c r="M168" s="169"/>
      <c r="N168" s="262"/>
    </row>
    <row r="169" spans="1:14" ht="15" customHeight="1">
      <c r="A169" s="318"/>
      <c r="B169" s="321"/>
      <c r="C169" s="325"/>
      <c r="D169" s="95">
        <v>1</v>
      </c>
      <c r="E169" s="169"/>
      <c r="F169" s="169">
        <v>1</v>
      </c>
      <c r="G169" s="95">
        <v>1</v>
      </c>
      <c r="H169" s="262"/>
      <c r="I169" s="262"/>
      <c r="J169" s="169">
        <v>1938</v>
      </c>
      <c r="K169" s="263" t="s">
        <v>42</v>
      </c>
      <c r="L169" s="270">
        <v>0</v>
      </c>
      <c r="M169" s="275"/>
      <c r="N169" s="274"/>
    </row>
    <row r="170" spans="1:14" ht="15" customHeight="1">
      <c r="A170" s="318"/>
      <c r="B170" s="321"/>
      <c r="C170" s="325"/>
      <c r="D170" s="95">
        <v>1</v>
      </c>
      <c r="E170" s="169"/>
      <c r="F170" s="169">
        <v>1</v>
      </c>
      <c r="G170" s="95">
        <v>1</v>
      </c>
      <c r="H170" s="262"/>
      <c r="I170" s="262"/>
      <c r="J170" s="169">
        <v>1938</v>
      </c>
      <c r="K170" s="169" t="s">
        <v>41</v>
      </c>
      <c r="L170" s="270"/>
      <c r="N170" s="270">
        <v>935</v>
      </c>
    </row>
    <row r="171" spans="1:14" ht="15" customHeight="1">
      <c r="A171" s="318"/>
      <c r="B171" s="321"/>
      <c r="C171" s="325"/>
      <c r="D171" s="95">
        <v>1</v>
      </c>
      <c r="E171" s="169">
        <v>1</v>
      </c>
      <c r="F171" s="169"/>
      <c r="G171" s="95">
        <v>1</v>
      </c>
      <c r="H171" s="262"/>
      <c r="I171" s="262"/>
      <c r="J171" s="169">
        <v>1927</v>
      </c>
      <c r="K171" s="169" t="s">
        <v>41</v>
      </c>
      <c r="L171" s="270">
        <v>0</v>
      </c>
      <c r="M171" s="169"/>
      <c r="N171" s="262"/>
    </row>
    <row r="172" spans="1:14" ht="15" customHeight="1">
      <c r="A172" s="318"/>
      <c r="B172" s="321"/>
      <c r="C172" s="325"/>
      <c r="D172" s="95">
        <v>1</v>
      </c>
      <c r="E172" s="169"/>
      <c r="F172" s="169">
        <v>1</v>
      </c>
      <c r="G172" s="95">
        <v>1</v>
      </c>
      <c r="H172" s="262"/>
      <c r="I172" s="262"/>
      <c r="J172" s="169">
        <v>1924</v>
      </c>
      <c r="K172" s="169" t="s">
        <v>41</v>
      </c>
      <c r="L172" s="270">
        <v>0</v>
      </c>
      <c r="M172" s="169"/>
      <c r="N172" s="262"/>
    </row>
    <row r="173" spans="1:14" ht="15" customHeight="1">
      <c r="A173" s="318"/>
      <c r="B173" s="321"/>
      <c r="C173" s="325"/>
      <c r="D173" s="95">
        <v>1</v>
      </c>
      <c r="E173" s="169"/>
      <c r="F173" s="169">
        <v>1</v>
      </c>
      <c r="G173" s="95">
        <v>1</v>
      </c>
      <c r="H173" s="169"/>
      <c r="I173" s="169"/>
      <c r="J173" s="169">
        <v>1926</v>
      </c>
      <c r="K173" s="169" t="s">
        <v>41</v>
      </c>
      <c r="L173" s="270">
        <v>0</v>
      </c>
      <c r="M173" s="169"/>
      <c r="N173" s="264"/>
    </row>
    <row r="174" spans="1:14" ht="15" customHeight="1">
      <c r="A174" s="318"/>
      <c r="B174" s="321"/>
      <c r="C174" s="325"/>
      <c r="D174" s="95">
        <v>1</v>
      </c>
      <c r="E174" s="169"/>
      <c r="F174" s="169">
        <v>1</v>
      </c>
      <c r="G174" s="95">
        <v>1</v>
      </c>
      <c r="H174" s="262"/>
      <c r="I174" s="262"/>
      <c r="J174" s="169">
        <v>1917</v>
      </c>
      <c r="K174" s="169" t="s">
        <v>41</v>
      </c>
      <c r="L174" s="270">
        <v>0</v>
      </c>
      <c r="M174" s="274"/>
      <c r="N174" s="262"/>
    </row>
    <row r="175" spans="1:14" ht="15" customHeight="1">
      <c r="A175" s="318"/>
      <c r="B175" s="321"/>
      <c r="C175" s="325"/>
      <c r="D175" s="95">
        <v>1</v>
      </c>
      <c r="E175" s="169"/>
      <c r="F175" s="169">
        <v>1</v>
      </c>
      <c r="G175" s="95">
        <v>1</v>
      </c>
      <c r="H175" s="262"/>
      <c r="I175" s="262"/>
      <c r="J175" s="169">
        <v>1917</v>
      </c>
      <c r="K175" s="263" t="s">
        <v>42</v>
      </c>
      <c r="L175" s="270"/>
      <c r="M175" s="270">
        <v>1400</v>
      </c>
      <c r="N175" s="262"/>
    </row>
    <row r="176" spans="1:14" ht="15" customHeight="1">
      <c r="A176" s="318"/>
      <c r="B176" s="321"/>
      <c r="C176" s="325"/>
      <c r="D176" s="95">
        <v>1</v>
      </c>
      <c r="E176" s="169"/>
      <c r="F176" s="169">
        <v>1</v>
      </c>
      <c r="G176" s="95">
        <v>1</v>
      </c>
      <c r="H176" s="169"/>
      <c r="I176" s="169"/>
      <c r="J176" s="169">
        <v>1924</v>
      </c>
      <c r="K176" s="169" t="s">
        <v>41</v>
      </c>
      <c r="L176" s="270">
        <v>0</v>
      </c>
      <c r="M176" s="169"/>
      <c r="N176" s="264"/>
    </row>
    <row r="177" spans="1:14" ht="15" customHeight="1">
      <c r="A177" s="320"/>
      <c r="B177" s="322"/>
      <c r="C177" s="325"/>
      <c r="D177" s="95">
        <v>1</v>
      </c>
      <c r="E177" s="169"/>
      <c r="F177" s="169">
        <v>1</v>
      </c>
      <c r="G177" s="95">
        <v>1</v>
      </c>
      <c r="H177" s="262"/>
      <c r="I177" s="262"/>
      <c r="J177" s="169">
        <v>1924</v>
      </c>
      <c r="K177" s="169" t="s">
        <v>41</v>
      </c>
      <c r="L177" s="270">
        <v>0</v>
      </c>
      <c r="M177" s="275"/>
      <c r="N177" s="274"/>
    </row>
    <row r="178" spans="1:14" ht="15" customHeight="1">
      <c r="A178" s="320"/>
      <c r="B178" s="322"/>
      <c r="C178" s="325"/>
      <c r="D178" s="95">
        <v>1</v>
      </c>
      <c r="E178" s="169"/>
      <c r="F178" s="169">
        <v>1</v>
      </c>
      <c r="G178" s="95">
        <v>1</v>
      </c>
      <c r="H178" s="262"/>
      <c r="I178" s="262"/>
      <c r="J178" s="169">
        <v>1924</v>
      </c>
      <c r="K178" s="169" t="s">
        <v>41</v>
      </c>
      <c r="L178" s="270"/>
      <c r="N178" s="270">
        <v>500</v>
      </c>
    </row>
    <row r="179" spans="1:14" ht="15" customHeight="1">
      <c r="A179" s="320"/>
      <c r="B179" s="322"/>
      <c r="C179" s="325"/>
      <c r="D179" s="95">
        <v>1</v>
      </c>
      <c r="E179" s="169"/>
      <c r="F179" s="169">
        <v>1</v>
      </c>
      <c r="G179" s="95">
        <v>1</v>
      </c>
      <c r="H179" s="262"/>
      <c r="I179" s="262"/>
      <c r="J179" s="169"/>
      <c r="K179" s="169" t="s">
        <v>41</v>
      </c>
      <c r="L179" s="270">
        <v>0</v>
      </c>
      <c r="M179" s="169"/>
      <c r="N179" s="169"/>
    </row>
    <row r="180" spans="1:14" ht="15" customHeight="1">
      <c r="A180" s="320"/>
      <c r="B180" s="322"/>
      <c r="C180" s="325"/>
      <c r="D180" s="95">
        <v>1</v>
      </c>
      <c r="E180" s="95"/>
      <c r="F180" s="95">
        <v>1</v>
      </c>
      <c r="G180" s="95">
        <v>1</v>
      </c>
      <c r="H180" s="285"/>
      <c r="I180" s="285"/>
      <c r="J180" s="169">
        <v>1923</v>
      </c>
      <c r="K180" s="169" t="s">
        <v>41</v>
      </c>
      <c r="L180" s="270">
        <v>0</v>
      </c>
      <c r="M180" s="169"/>
      <c r="N180" s="169"/>
    </row>
    <row r="181" spans="1:14" s="269" customFormat="1" ht="15" customHeight="1">
      <c r="A181" s="313" t="s">
        <v>32</v>
      </c>
      <c r="B181" s="313"/>
      <c r="C181" s="60"/>
      <c r="D181" s="60">
        <f>SUM(D148:D180)</f>
        <v>32</v>
      </c>
      <c r="E181" s="60">
        <f>SUM(E148:E180)</f>
        <v>7</v>
      </c>
      <c r="F181" s="60">
        <f>SUM(F148:F180)</f>
        <v>25</v>
      </c>
      <c r="G181" s="60">
        <f>SUM(G148:G180)</f>
        <v>32</v>
      </c>
      <c r="H181" s="60"/>
      <c r="I181" s="60"/>
      <c r="J181" s="60"/>
      <c r="K181" s="60"/>
      <c r="L181" s="268">
        <f>SUM(L148:L180)</f>
        <v>0</v>
      </c>
      <c r="M181" s="268">
        <f>SUM(M148:M180)</f>
        <v>2212.5</v>
      </c>
      <c r="N181" s="268">
        <f>SUM(N148:N180)</f>
        <v>2835</v>
      </c>
    </row>
    <row r="182" spans="1:14" ht="15" customHeight="1">
      <c r="A182" s="312" t="s">
        <v>84</v>
      </c>
      <c r="B182" s="312"/>
      <c r="C182" s="48"/>
      <c r="D182" s="61"/>
      <c r="E182" s="261"/>
      <c r="F182" s="261"/>
      <c r="G182" s="50"/>
      <c r="H182" s="50"/>
      <c r="I182" s="50"/>
      <c r="J182" s="261"/>
      <c r="K182" s="261"/>
      <c r="L182" s="51"/>
      <c r="M182" s="51"/>
      <c r="N182" s="51"/>
    </row>
    <row r="183" spans="1:14" ht="30" customHeight="1">
      <c r="A183" s="52" t="s">
        <v>28</v>
      </c>
      <c r="B183" s="52" t="s">
        <v>1</v>
      </c>
      <c r="C183" s="52" t="s">
        <v>3</v>
      </c>
      <c r="D183" s="51" t="s">
        <v>120</v>
      </c>
      <c r="E183" s="52" t="s">
        <v>90</v>
      </c>
      <c r="F183" s="52" t="s">
        <v>91</v>
      </c>
      <c r="G183" s="52" t="s">
        <v>140</v>
      </c>
      <c r="H183" s="52" t="s">
        <v>127</v>
      </c>
      <c r="I183" s="52" t="s">
        <v>159</v>
      </c>
      <c r="J183" s="52" t="s">
        <v>119</v>
      </c>
      <c r="K183" s="52" t="s">
        <v>183</v>
      </c>
      <c r="L183" s="52" t="s">
        <v>38</v>
      </c>
      <c r="M183" s="52" t="s">
        <v>39</v>
      </c>
      <c r="N183" s="52" t="s">
        <v>40</v>
      </c>
    </row>
    <row r="184" spans="1:14" ht="15" customHeight="1">
      <c r="A184" s="318"/>
      <c r="B184" s="321"/>
      <c r="C184" s="324"/>
      <c r="D184" s="95">
        <v>1</v>
      </c>
      <c r="E184" s="169">
        <v>1</v>
      </c>
      <c r="F184" s="169"/>
      <c r="G184" s="169">
        <v>1</v>
      </c>
      <c r="H184" s="169"/>
      <c r="I184" s="169"/>
      <c r="J184" s="169">
        <v>1948</v>
      </c>
      <c r="K184" s="169" t="s">
        <v>41</v>
      </c>
      <c r="L184" s="263"/>
      <c r="M184" s="263"/>
      <c r="N184" s="101">
        <v>1850</v>
      </c>
    </row>
    <row r="185" spans="1:14" ht="15" customHeight="1">
      <c r="A185" s="318"/>
      <c r="B185" s="321"/>
      <c r="C185" s="324"/>
      <c r="D185" s="95">
        <v>1</v>
      </c>
      <c r="E185" s="169">
        <v>1</v>
      </c>
      <c r="F185" s="169"/>
      <c r="G185" s="169">
        <v>1</v>
      </c>
      <c r="H185" s="169"/>
      <c r="I185" s="169"/>
      <c r="J185" s="169">
        <v>1935</v>
      </c>
      <c r="K185" s="169" t="s">
        <v>41</v>
      </c>
      <c r="L185" s="101">
        <v>0</v>
      </c>
      <c r="M185" s="287"/>
      <c r="N185" s="264"/>
    </row>
    <row r="186" spans="1:14" ht="15" customHeight="1">
      <c r="A186" s="318"/>
      <c r="B186" s="321"/>
      <c r="C186" s="324"/>
      <c r="D186" s="95">
        <v>1</v>
      </c>
      <c r="E186" s="169"/>
      <c r="F186" s="169">
        <v>1</v>
      </c>
      <c r="G186" s="169">
        <v>1</v>
      </c>
      <c r="H186" s="169"/>
      <c r="I186" s="169"/>
      <c r="J186" s="169">
        <v>1921</v>
      </c>
      <c r="K186" s="169" t="s">
        <v>41</v>
      </c>
      <c r="L186" s="101">
        <v>0</v>
      </c>
      <c r="M186" s="287"/>
      <c r="N186" s="264"/>
    </row>
    <row r="187" spans="1:14" s="283" customFormat="1" ht="15" customHeight="1">
      <c r="A187" s="313" t="s">
        <v>99</v>
      </c>
      <c r="B187" s="313"/>
      <c r="C187" s="60"/>
      <c r="D187" s="60">
        <f>SUM(D184:D186)</f>
        <v>3</v>
      </c>
      <c r="E187" s="60">
        <f>SUM(E184:E186)</f>
        <v>2</v>
      </c>
      <c r="F187" s="60">
        <f>SUM(F184:F186)</f>
        <v>1</v>
      </c>
      <c r="G187" s="60">
        <f>SUM(G184:G186)</f>
        <v>3</v>
      </c>
      <c r="H187" s="60"/>
      <c r="I187" s="60"/>
      <c r="J187" s="60"/>
      <c r="K187" s="60"/>
      <c r="L187" s="268">
        <f>SUM(L154:L186)</f>
        <v>0</v>
      </c>
      <c r="M187" s="268">
        <f>SUM(M184:M186)</f>
        <v>0</v>
      </c>
      <c r="N187" s="268">
        <f>SUM(N184:N186)</f>
        <v>1850</v>
      </c>
    </row>
    <row r="188" spans="1:14" ht="15" customHeight="1">
      <c r="A188" s="312" t="s">
        <v>85</v>
      </c>
      <c r="B188" s="312"/>
      <c r="C188" s="48"/>
      <c r="D188" s="61"/>
      <c r="E188" s="261"/>
      <c r="F188" s="261"/>
      <c r="G188" s="50"/>
      <c r="H188" s="50"/>
      <c r="I188" s="50"/>
      <c r="J188" s="261"/>
      <c r="K188" s="261"/>
      <c r="L188" s="51"/>
      <c r="M188" s="51"/>
      <c r="N188" s="51"/>
    </row>
    <row r="189" spans="1:14" ht="30" customHeight="1">
      <c r="A189" s="52" t="s">
        <v>28</v>
      </c>
      <c r="B189" s="52" t="s">
        <v>1</v>
      </c>
      <c r="C189" s="52" t="s">
        <v>3</v>
      </c>
      <c r="D189" s="51" t="s">
        <v>120</v>
      </c>
      <c r="E189" s="52" t="s">
        <v>90</v>
      </c>
      <c r="F189" s="52" t="s">
        <v>91</v>
      </c>
      <c r="G189" s="52" t="s">
        <v>140</v>
      </c>
      <c r="H189" s="52" t="s">
        <v>127</v>
      </c>
      <c r="I189" s="52" t="s">
        <v>159</v>
      </c>
      <c r="J189" s="52" t="s">
        <v>119</v>
      </c>
      <c r="K189" s="52" t="s">
        <v>183</v>
      </c>
      <c r="L189" s="52" t="s">
        <v>38</v>
      </c>
      <c r="M189" s="52" t="s">
        <v>39</v>
      </c>
      <c r="N189" s="52" t="s">
        <v>40</v>
      </c>
    </row>
    <row r="190" spans="1:14" ht="15" customHeight="1">
      <c r="A190" s="318"/>
      <c r="B190" s="318"/>
      <c r="C190" s="327"/>
      <c r="D190" s="95">
        <v>1</v>
      </c>
      <c r="E190" s="169"/>
      <c r="F190" s="169">
        <v>1</v>
      </c>
      <c r="G190" s="169">
        <v>1</v>
      </c>
      <c r="H190" s="262"/>
      <c r="I190" s="262"/>
      <c r="J190" s="169">
        <v>1938</v>
      </c>
      <c r="K190" s="169" t="s">
        <v>41</v>
      </c>
      <c r="L190" s="270">
        <v>0</v>
      </c>
      <c r="M190" s="169"/>
      <c r="N190" s="262"/>
    </row>
    <row r="191" spans="1:14" ht="15" customHeight="1">
      <c r="A191" s="318"/>
      <c r="B191" s="318"/>
      <c r="C191" s="327"/>
      <c r="D191" s="95">
        <v>1</v>
      </c>
      <c r="E191" s="169"/>
      <c r="F191" s="169">
        <v>1</v>
      </c>
      <c r="G191" s="169">
        <v>1</v>
      </c>
      <c r="H191" s="262"/>
      <c r="I191" s="262"/>
      <c r="J191" s="65">
        <v>1938</v>
      </c>
      <c r="K191" s="169" t="s">
        <v>41</v>
      </c>
      <c r="L191" s="169"/>
      <c r="M191" s="275"/>
      <c r="N191" s="270">
        <v>164.05</v>
      </c>
    </row>
    <row r="192" spans="1:14" ht="15" customHeight="1">
      <c r="A192" s="318"/>
      <c r="B192" s="318"/>
      <c r="C192" s="327"/>
      <c r="D192" s="95">
        <v>1</v>
      </c>
      <c r="E192" s="169">
        <v>1</v>
      </c>
      <c r="F192" s="169"/>
      <c r="G192" s="169">
        <v>1</v>
      </c>
      <c r="H192" s="169"/>
      <c r="I192" s="169"/>
      <c r="J192" s="169">
        <v>1942</v>
      </c>
      <c r="K192" s="80" t="s">
        <v>181</v>
      </c>
      <c r="L192" s="270">
        <v>480</v>
      </c>
      <c r="M192" s="55"/>
      <c r="N192" s="55"/>
    </row>
    <row r="193" spans="1:14" ht="15" customHeight="1">
      <c r="A193" s="318"/>
      <c r="B193" s="318"/>
      <c r="C193" s="327"/>
      <c r="D193" s="95">
        <v>1</v>
      </c>
      <c r="E193" s="169">
        <v>1</v>
      </c>
      <c r="F193" s="169"/>
      <c r="G193" s="169">
        <v>1</v>
      </c>
      <c r="H193" s="262"/>
      <c r="I193" s="262"/>
      <c r="J193" s="169">
        <v>1927</v>
      </c>
      <c r="K193" s="169" t="s">
        <v>41</v>
      </c>
      <c r="L193" s="270">
        <v>0</v>
      </c>
      <c r="M193" s="169"/>
      <c r="N193" s="262"/>
    </row>
    <row r="194" spans="1:14" ht="15" customHeight="1">
      <c r="A194" s="318"/>
      <c r="B194" s="318"/>
      <c r="C194" s="327"/>
      <c r="D194" s="95">
        <v>1</v>
      </c>
      <c r="E194" s="147"/>
      <c r="F194" s="147">
        <v>1</v>
      </c>
      <c r="G194" s="169">
        <v>1</v>
      </c>
      <c r="H194" s="147"/>
      <c r="I194" s="147"/>
      <c r="J194" s="147">
        <v>1927</v>
      </c>
      <c r="K194" s="169" t="s">
        <v>41</v>
      </c>
      <c r="L194" s="270">
        <v>0</v>
      </c>
      <c r="M194" s="147"/>
      <c r="N194" s="147"/>
    </row>
    <row r="195" spans="1:14" ht="15" customHeight="1">
      <c r="A195" s="318"/>
      <c r="B195" s="318"/>
      <c r="C195" s="327"/>
      <c r="D195" s="95">
        <v>1</v>
      </c>
      <c r="E195" s="147">
        <v>1</v>
      </c>
      <c r="F195" s="147"/>
      <c r="G195" s="169">
        <v>1</v>
      </c>
      <c r="H195" s="147"/>
      <c r="I195" s="147"/>
      <c r="J195" s="147">
        <v>1927</v>
      </c>
      <c r="K195" s="263" t="s">
        <v>42</v>
      </c>
      <c r="L195" s="270">
        <v>0</v>
      </c>
      <c r="M195" s="147"/>
      <c r="N195" s="147"/>
    </row>
    <row r="196" spans="1:14" ht="15" customHeight="1">
      <c r="A196" s="318"/>
      <c r="B196" s="318"/>
      <c r="C196" s="327"/>
      <c r="D196" s="95">
        <v>1</v>
      </c>
      <c r="E196" s="169"/>
      <c r="F196" s="169">
        <v>1</v>
      </c>
      <c r="G196" s="169">
        <v>1</v>
      </c>
      <c r="H196" s="169"/>
      <c r="I196" s="169"/>
      <c r="J196" s="169">
        <v>1928</v>
      </c>
      <c r="K196" s="169" t="s">
        <v>41</v>
      </c>
      <c r="L196" s="270">
        <v>0</v>
      </c>
      <c r="M196" s="263"/>
      <c r="N196" s="169"/>
    </row>
    <row r="197" spans="1:14" ht="15" customHeight="1">
      <c r="A197" s="318"/>
      <c r="B197" s="318"/>
      <c r="C197" s="327"/>
      <c r="D197" s="95">
        <v>1</v>
      </c>
      <c r="E197" s="169">
        <v>1</v>
      </c>
      <c r="F197" s="169"/>
      <c r="G197" s="169">
        <v>1</v>
      </c>
      <c r="H197" s="262"/>
      <c r="I197" s="262"/>
      <c r="J197" s="169">
        <v>1927</v>
      </c>
      <c r="K197" s="263" t="s">
        <v>42</v>
      </c>
      <c r="L197" s="270">
        <v>0</v>
      </c>
      <c r="M197" s="169"/>
      <c r="N197" s="169"/>
    </row>
    <row r="198" spans="1:14" ht="15" customHeight="1">
      <c r="A198" s="318"/>
      <c r="B198" s="318"/>
      <c r="C198" s="327"/>
      <c r="D198" s="95">
        <v>1</v>
      </c>
      <c r="E198" s="147">
        <v>1</v>
      </c>
      <c r="F198" s="147"/>
      <c r="G198" s="169">
        <v>1</v>
      </c>
      <c r="H198" s="147"/>
      <c r="I198" s="147"/>
      <c r="J198" s="147">
        <v>1939</v>
      </c>
      <c r="K198" s="263" t="s">
        <v>42</v>
      </c>
      <c r="L198" s="270">
        <v>0</v>
      </c>
      <c r="M198" s="147"/>
      <c r="N198" s="147"/>
    </row>
    <row r="199" spans="1:14" ht="15" customHeight="1">
      <c r="A199" s="318"/>
      <c r="B199" s="318"/>
      <c r="C199" s="327"/>
      <c r="D199" s="95">
        <v>1</v>
      </c>
      <c r="E199" s="169">
        <v>1</v>
      </c>
      <c r="F199" s="169"/>
      <c r="G199" s="169">
        <v>1</v>
      </c>
      <c r="H199" s="169"/>
      <c r="I199" s="169"/>
      <c r="J199" s="169">
        <v>1929</v>
      </c>
      <c r="K199" s="263" t="s">
        <v>42</v>
      </c>
      <c r="L199" s="270">
        <v>0</v>
      </c>
      <c r="M199" s="263"/>
      <c r="N199" s="264"/>
    </row>
    <row r="200" spans="1:14" ht="15" customHeight="1">
      <c r="A200" s="320"/>
      <c r="B200" s="320"/>
      <c r="C200" s="327"/>
      <c r="D200" s="95">
        <v>1</v>
      </c>
      <c r="E200" s="169"/>
      <c r="F200" s="169">
        <v>1</v>
      </c>
      <c r="G200" s="169">
        <v>1</v>
      </c>
      <c r="H200" s="169"/>
      <c r="I200" s="169"/>
      <c r="J200" s="169">
        <v>1922</v>
      </c>
      <c r="K200" s="263" t="s">
        <v>42</v>
      </c>
      <c r="L200" s="270">
        <v>0</v>
      </c>
      <c r="M200" s="263"/>
      <c r="N200" s="264"/>
    </row>
    <row r="201" spans="1:14" ht="15" customHeight="1">
      <c r="A201" s="318"/>
      <c r="B201" s="318"/>
      <c r="C201" s="327"/>
      <c r="D201" s="95">
        <v>1</v>
      </c>
      <c r="E201" s="147"/>
      <c r="F201" s="147">
        <v>1</v>
      </c>
      <c r="G201" s="169">
        <v>1</v>
      </c>
      <c r="H201" s="147"/>
      <c r="I201" s="147"/>
      <c r="J201" s="147">
        <v>1927</v>
      </c>
      <c r="K201" s="263" t="s">
        <v>42</v>
      </c>
      <c r="L201" s="270">
        <v>0</v>
      </c>
      <c r="M201" s="147"/>
      <c r="N201" s="147"/>
    </row>
    <row r="202" spans="1:14" ht="15" customHeight="1">
      <c r="A202" s="318"/>
      <c r="B202" s="318"/>
      <c r="C202" s="327"/>
      <c r="D202" s="95">
        <v>1</v>
      </c>
      <c r="E202" s="169">
        <v>1</v>
      </c>
      <c r="F202" s="169"/>
      <c r="G202" s="169">
        <v>1</v>
      </c>
      <c r="H202" s="262"/>
      <c r="I202" s="262"/>
      <c r="J202" s="169">
        <v>1920</v>
      </c>
      <c r="K202" s="263" t="s">
        <v>42</v>
      </c>
      <c r="L202" s="270">
        <v>0</v>
      </c>
      <c r="M202" s="274"/>
      <c r="N202" s="275"/>
    </row>
    <row r="203" spans="1:14" ht="15" customHeight="1">
      <c r="A203" s="318"/>
      <c r="B203" s="318"/>
      <c r="C203" s="327"/>
      <c r="D203" s="95">
        <v>1</v>
      </c>
      <c r="E203" s="169">
        <v>1</v>
      </c>
      <c r="F203" s="169"/>
      <c r="G203" s="169">
        <v>1</v>
      </c>
      <c r="H203" s="262"/>
      <c r="I203" s="262"/>
      <c r="J203" s="169">
        <v>1920</v>
      </c>
      <c r="K203" s="263" t="s">
        <v>42</v>
      </c>
      <c r="L203" s="270">
        <v>0</v>
      </c>
      <c r="M203" s="274"/>
      <c r="N203" s="270">
        <v>1129</v>
      </c>
    </row>
    <row r="204" spans="1:14" ht="15" customHeight="1">
      <c r="A204" s="318"/>
      <c r="B204" s="318"/>
      <c r="C204" s="327"/>
      <c r="D204" s="95">
        <v>1</v>
      </c>
      <c r="E204" s="169">
        <v>1</v>
      </c>
      <c r="F204" s="169"/>
      <c r="G204" s="169">
        <v>1</v>
      </c>
      <c r="H204" s="262"/>
      <c r="I204" s="262"/>
      <c r="J204" s="169">
        <v>1925</v>
      </c>
      <c r="K204" s="263" t="s">
        <v>42</v>
      </c>
      <c r="L204" s="270">
        <v>0</v>
      </c>
      <c r="M204" s="169"/>
      <c r="N204" s="275"/>
    </row>
    <row r="205" spans="1:14" ht="15" customHeight="1">
      <c r="A205" s="318"/>
      <c r="B205" s="318"/>
      <c r="C205" s="327"/>
      <c r="D205" s="95">
        <v>1</v>
      </c>
      <c r="E205" s="262"/>
      <c r="F205" s="169">
        <v>1</v>
      </c>
      <c r="G205" s="169">
        <v>1</v>
      </c>
      <c r="H205" s="262"/>
      <c r="I205" s="262"/>
      <c r="J205" s="175">
        <v>1962</v>
      </c>
      <c r="K205" s="169" t="s">
        <v>41</v>
      </c>
      <c r="L205" s="169"/>
      <c r="M205" s="262"/>
      <c r="N205" s="270">
        <v>1850</v>
      </c>
    </row>
    <row r="206" spans="1:14" ht="15" customHeight="1">
      <c r="A206" s="318"/>
      <c r="B206" s="318"/>
      <c r="C206" s="327"/>
      <c r="D206" s="95">
        <v>1</v>
      </c>
      <c r="E206" s="169"/>
      <c r="F206" s="169">
        <v>1</v>
      </c>
      <c r="G206" s="169">
        <v>1</v>
      </c>
      <c r="H206" s="262"/>
      <c r="I206" s="262"/>
      <c r="J206" s="169">
        <v>1925</v>
      </c>
      <c r="K206" s="263" t="s">
        <v>42</v>
      </c>
      <c r="L206" s="270">
        <v>0</v>
      </c>
      <c r="M206" s="169"/>
      <c r="N206" s="262"/>
    </row>
    <row r="207" spans="1:14" ht="15" customHeight="1">
      <c r="A207" s="318"/>
      <c r="B207" s="318"/>
      <c r="C207" s="327"/>
      <c r="D207" s="95">
        <v>1</v>
      </c>
      <c r="E207" s="169"/>
      <c r="F207" s="169">
        <v>1</v>
      </c>
      <c r="G207" s="169">
        <v>1</v>
      </c>
      <c r="H207" s="262"/>
      <c r="I207" s="262"/>
      <c r="J207" s="169">
        <v>1927</v>
      </c>
      <c r="K207" s="263" t="s">
        <v>42</v>
      </c>
      <c r="L207" s="270">
        <v>0</v>
      </c>
      <c r="M207" s="169"/>
      <c r="N207" s="262"/>
    </row>
    <row r="208" spans="1:14" ht="15" customHeight="1">
      <c r="A208" s="318"/>
      <c r="B208" s="318"/>
      <c r="C208" s="327"/>
      <c r="D208" s="95">
        <v>1</v>
      </c>
      <c r="E208" s="147">
        <v>1</v>
      </c>
      <c r="F208" s="147"/>
      <c r="G208" s="169">
        <v>1</v>
      </c>
      <c r="H208" s="147"/>
      <c r="I208" s="147"/>
      <c r="J208" s="147">
        <v>1927</v>
      </c>
      <c r="K208" s="169" t="s">
        <v>41</v>
      </c>
      <c r="L208" s="270">
        <v>0</v>
      </c>
      <c r="M208" s="147"/>
      <c r="N208" s="147"/>
    </row>
    <row r="209" spans="1:14" ht="15" customHeight="1">
      <c r="A209" s="318"/>
      <c r="B209" s="318"/>
      <c r="C209" s="327"/>
      <c r="D209" s="95">
        <v>1</v>
      </c>
      <c r="E209" s="169">
        <v>1</v>
      </c>
      <c r="F209" s="169"/>
      <c r="G209" s="169">
        <v>1</v>
      </c>
      <c r="H209" s="262"/>
      <c r="I209" s="262"/>
      <c r="J209" s="169">
        <v>1929</v>
      </c>
      <c r="K209" s="263" t="s">
        <v>42</v>
      </c>
      <c r="L209" s="270">
        <v>0</v>
      </c>
      <c r="M209" s="169"/>
      <c r="N209" s="262"/>
    </row>
    <row r="210" spans="1:14" ht="15" customHeight="1">
      <c r="A210" s="318"/>
      <c r="B210" s="318"/>
      <c r="C210" s="327"/>
      <c r="D210" s="95">
        <v>1</v>
      </c>
      <c r="E210" s="147">
        <v>1</v>
      </c>
      <c r="F210" s="147"/>
      <c r="G210" s="169">
        <v>1</v>
      </c>
      <c r="H210" s="147"/>
      <c r="I210" s="288"/>
      <c r="J210" s="147"/>
      <c r="K210" s="169" t="s">
        <v>41</v>
      </c>
      <c r="L210" s="270">
        <v>0</v>
      </c>
      <c r="M210" s="147"/>
      <c r="N210" s="147"/>
    </row>
    <row r="211" spans="1:14" ht="15" customHeight="1">
      <c r="A211" s="318"/>
      <c r="B211" s="318"/>
      <c r="C211" s="327"/>
      <c r="D211" s="95">
        <v>1</v>
      </c>
      <c r="E211" s="147"/>
      <c r="F211" s="147">
        <v>1</v>
      </c>
      <c r="G211" s="169">
        <v>1</v>
      </c>
      <c r="H211" s="147"/>
      <c r="I211" s="147"/>
      <c r="J211" s="147">
        <v>1931</v>
      </c>
      <c r="K211" s="263" t="s">
        <v>42</v>
      </c>
      <c r="L211" s="270">
        <v>0</v>
      </c>
      <c r="M211" s="147"/>
      <c r="N211" s="147"/>
    </row>
    <row r="212" spans="1:14" ht="15" customHeight="1">
      <c r="A212" s="320"/>
      <c r="B212" s="320"/>
      <c r="C212" s="327"/>
      <c r="D212" s="95">
        <v>1</v>
      </c>
      <c r="E212" s="147"/>
      <c r="F212" s="147">
        <v>1</v>
      </c>
      <c r="G212" s="169">
        <v>1</v>
      </c>
      <c r="H212" s="147"/>
      <c r="I212" s="147"/>
      <c r="J212" s="147">
        <v>1934</v>
      </c>
      <c r="K212" s="169" t="s">
        <v>41</v>
      </c>
      <c r="L212" s="270">
        <v>0</v>
      </c>
      <c r="M212" s="147"/>
      <c r="N212" s="147"/>
    </row>
    <row r="213" spans="1:14" ht="15" customHeight="1">
      <c r="A213" s="320"/>
      <c r="B213" s="320"/>
      <c r="C213" s="327"/>
      <c r="D213" s="95">
        <v>1</v>
      </c>
      <c r="E213" s="147"/>
      <c r="F213" s="147">
        <v>1</v>
      </c>
      <c r="G213" s="169">
        <v>1</v>
      </c>
      <c r="H213" s="147"/>
      <c r="I213" s="147"/>
      <c r="J213" s="147">
        <v>1929</v>
      </c>
      <c r="K213" s="169" t="s">
        <v>41</v>
      </c>
      <c r="L213" s="270">
        <v>0</v>
      </c>
      <c r="M213" s="147"/>
      <c r="N213" s="147"/>
    </row>
    <row r="214" spans="1:14" ht="15" customHeight="1">
      <c r="A214" s="318"/>
      <c r="B214" s="318"/>
      <c r="C214" s="327"/>
      <c r="D214" s="95">
        <v>1</v>
      </c>
      <c r="E214" s="169"/>
      <c r="F214" s="169">
        <v>1</v>
      </c>
      <c r="G214" s="169">
        <v>1</v>
      </c>
      <c r="H214" s="169"/>
      <c r="I214" s="169"/>
      <c r="J214" s="147">
        <v>1925</v>
      </c>
      <c r="K214" s="169" t="s">
        <v>41</v>
      </c>
      <c r="L214" s="270">
        <v>0</v>
      </c>
      <c r="M214" s="263"/>
      <c r="N214" s="270">
        <v>1114.44</v>
      </c>
    </row>
    <row r="215" spans="1:14" ht="15" customHeight="1">
      <c r="A215" s="318"/>
      <c r="B215" s="318"/>
      <c r="C215" s="327"/>
      <c r="D215" s="95">
        <v>1</v>
      </c>
      <c r="E215" s="147">
        <v>1</v>
      </c>
      <c r="F215" s="147"/>
      <c r="G215" s="169">
        <v>1</v>
      </c>
      <c r="H215" s="147"/>
      <c r="I215" s="147"/>
      <c r="J215" s="147">
        <v>1926</v>
      </c>
      <c r="K215" s="263" t="s">
        <v>42</v>
      </c>
      <c r="L215" s="270">
        <v>0</v>
      </c>
      <c r="M215" s="147"/>
      <c r="N215" s="275"/>
    </row>
    <row r="216" spans="1:14" ht="15" customHeight="1">
      <c r="A216" s="318"/>
      <c r="B216" s="318"/>
      <c r="C216" s="327"/>
      <c r="D216" s="95">
        <v>1</v>
      </c>
      <c r="E216" s="169">
        <v>1</v>
      </c>
      <c r="F216" s="169"/>
      <c r="G216" s="169">
        <v>1</v>
      </c>
      <c r="H216" s="169"/>
      <c r="I216" s="169"/>
      <c r="J216" s="175">
        <v>1925</v>
      </c>
      <c r="K216" s="169" t="s">
        <v>41</v>
      </c>
      <c r="L216" s="263"/>
      <c r="M216" s="263"/>
      <c r="N216" s="270">
        <v>376</v>
      </c>
    </row>
    <row r="217" spans="1:14" ht="15" customHeight="1">
      <c r="A217" s="318"/>
      <c r="B217" s="318"/>
      <c r="C217" s="327"/>
      <c r="D217" s="95">
        <v>1</v>
      </c>
      <c r="E217" s="169"/>
      <c r="F217" s="169">
        <v>1</v>
      </c>
      <c r="G217" s="169">
        <v>1</v>
      </c>
      <c r="H217" s="262"/>
      <c r="I217" s="262"/>
      <c r="J217" s="169">
        <v>1935</v>
      </c>
      <c r="K217" s="169" t="s">
        <v>41</v>
      </c>
      <c r="L217" s="270">
        <v>0</v>
      </c>
      <c r="M217" s="169"/>
      <c r="N217" s="275"/>
    </row>
    <row r="218" spans="1:14" ht="15" customHeight="1">
      <c r="A218" s="318"/>
      <c r="B218" s="318"/>
      <c r="C218" s="327"/>
      <c r="D218" s="95">
        <v>1</v>
      </c>
      <c r="E218" s="169"/>
      <c r="F218" s="169">
        <v>1</v>
      </c>
      <c r="G218" s="169">
        <v>1</v>
      </c>
      <c r="H218" s="262"/>
      <c r="I218" s="262"/>
      <c r="J218" s="169">
        <v>1925</v>
      </c>
      <c r="K218" s="169" t="s">
        <v>41</v>
      </c>
      <c r="L218" s="270">
        <v>0</v>
      </c>
      <c r="M218" s="169"/>
      <c r="N218" s="275"/>
    </row>
    <row r="219" spans="1:14" ht="15" customHeight="1">
      <c r="A219" s="318"/>
      <c r="B219" s="318"/>
      <c r="C219" s="327"/>
      <c r="D219" s="95">
        <v>1</v>
      </c>
      <c r="E219" s="147"/>
      <c r="F219" s="147">
        <v>1</v>
      </c>
      <c r="G219" s="169">
        <v>1</v>
      </c>
      <c r="H219" s="147"/>
      <c r="I219" s="147"/>
      <c r="J219" s="147">
        <v>1922</v>
      </c>
      <c r="K219" s="169" t="s">
        <v>41</v>
      </c>
      <c r="L219" s="270">
        <v>0</v>
      </c>
      <c r="M219" s="147"/>
      <c r="N219" s="275"/>
    </row>
    <row r="220" spans="1:14" ht="15" customHeight="1">
      <c r="A220" s="318"/>
      <c r="B220" s="318"/>
      <c r="C220" s="327"/>
      <c r="D220" s="95">
        <v>1</v>
      </c>
      <c r="E220" s="147">
        <v>1</v>
      </c>
      <c r="F220" s="147"/>
      <c r="G220" s="169">
        <v>1</v>
      </c>
      <c r="H220" s="147"/>
      <c r="I220" s="147"/>
      <c r="J220" s="147">
        <v>1965</v>
      </c>
      <c r="K220" s="169" t="s">
        <v>41</v>
      </c>
      <c r="L220" s="270">
        <v>0</v>
      </c>
      <c r="M220" s="147"/>
      <c r="N220" s="275"/>
    </row>
    <row r="221" spans="1:14" ht="15" customHeight="1">
      <c r="A221" s="318"/>
      <c r="B221" s="318"/>
      <c r="C221" s="327"/>
      <c r="D221" s="95">
        <v>1</v>
      </c>
      <c r="E221" s="169">
        <v>1</v>
      </c>
      <c r="F221" s="169"/>
      <c r="G221" s="169">
        <v>1</v>
      </c>
      <c r="H221" s="262"/>
      <c r="I221" s="262"/>
      <c r="J221" s="169">
        <v>1932</v>
      </c>
      <c r="K221" s="169" t="s">
        <v>41</v>
      </c>
      <c r="L221" s="270">
        <v>0</v>
      </c>
      <c r="M221" s="169"/>
      <c r="N221" s="275"/>
    </row>
    <row r="222" spans="1:14" ht="15" customHeight="1">
      <c r="A222" s="318"/>
      <c r="B222" s="318"/>
      <c r="C222" s="327"/>
      <c r="D222" s="95">
        <v>1</v>
      </c>
      <c r="E222" s="169">
        <v>1</v>
      </c>
      <c r="F222" s="169"/>
      <c r="G222" s="169">
        <v>1</v>
      </c>
      <c r="H222" s="169"/>
      <c r="I222" s="169"/>
      <c r="J222" s="169">
        <v>1922</v>
      </c>
      <c r="K222" s="263" t="s">
        <v>42</v>
      </c>
      <c r="L222" s="270">
        <v>0</v>
      </c>
      <c r="M222" s="263"/>
      <c r="N222" s="275"/>
    </row>
    <row r="223" spans="1:14" ht="15" customHeight="1">
      <c r="A223" s="320"/>
      <c r="B223" s="320"/>
      <c r="C223" s="327"/>
      <c r="D223" s="95"/>
      <c r="E223" s="169"/>
      <c r="F223" s="169"/>
      <c r="G223" s="169"/>
      <c r="H223" s="169"/>
      <c r="I223" s="169"/>
      <c r="J223" s="169">
        <v>1923</v>
      </c>
      <c r="K223" s="263" t="s">
        <v>42</v>
      </c>
      <c r="L223" s="270">
        <v>0</v>
      </c>
      <c r="M223" s="263"/>
      <c r="N223" s="275"/>
    </row>
    <row r="224" spans="1:14" ht="15" customHeight="1">
      <c r="A224" s="320"/>
      <c r="B224" s="320"/>
      <c r="C224" s="327"/>
      <c r="D224" s="95">
        <v>1</v>
      </c>
      <c r="E224" s="169"/>
      <c r="F224" s="169">
        <v>1</v>
      </c>
      <c r="G224" s="169">
        <v>1</v>
      </c>
      <c r="H224" s="262"/>
      <c r="I224" s="262"/>
      <c r="J224" s="169">
        <v>1924</v>
      </c>
      <c r="K224" s="263" t="s">
        <v>42</v>
      </c>
      <c r="L224" s="270">
        <v>0</v>
      </c>
      <c r="M224" s="169"/>
      <c r="N224" s="275"/>
    </row>
    <row r="225" spans="1:14" ht="15" customHeight="1">
      <c r="A225" s="320"/>
      <c r="B225" s="320"/>
      <c r="C225" s="327"/>
      <c r="D225" s="95">
        <v>1</v>
      </c>
      <c r="E225" s="169">
        <v>1</v>
      </c>
      <c r="F225" s="169"/>
      <c r="G225" s="169">
        <v>1</v>
      </c>
      <c r="H225" s="262"/>
      <c r="I225" s="262"/>
      <c r="J225" s="169">
        <v>1933</v>
      </c>
      <c r="K225" s="169" t="s">
        <v>41</v>
      </c>
      <c r="L225" s="270">
        <v>0</v>
      </c>
      <c r="M225" s="169"/>
      <c r="N225" s="275"/>
    </row>
    <row r="226" spans="1:14" ht="15" customHeight="1">
      <c r="A226" s="320"/>
      <c r="B226" s="320"/>
      <c r="C226" s="327"/>
      <c r="D226" s="95">
        <v>1</v>
      </c>
      <c r="E226" s="169"/>
      <c r="F226" s="169">
        <v>1</v>
      </c>
      <c r="G226" s="169">
        <v>1</v>
      </c>
      <c r="H226" s="169"/>
      <c r="I226" s="169"/>
      <c r="J226" s="65">
        <v>1922</v>
      </c>
      <c r="K226" s="169" t="s">
        <v>41</v>
      </c>
      <c r="L226" s="263"/>
      <c r="M226" s="263"/>
      <c r="N226" s="270">
        <v>1165.5</v>
      </c>
    </row>
    <row r="227" spans="1:14" ht="15" customHeight="1">
      <c r="A227" s="320"/>
      <c r="B227" s="320"/>
      <c r="C227" s="327"/>
      <c r="D227" s="95">
        <v>1</v>
      </c>
      <c r="E227" s="169">
        <v>1</v>
      </c>
      <c r="F227" s="169"/>
      <c r="G227" s="169">
        <v>1</v>
      </c>
      <c r="H227" s="169"/>
      <c r="I227" s="169"/>
      <c r="J227" s="147">
        <v>1950</v>
      </c>
      <c r="K227" s="169" t="s">
        <v>41</v>
      </c>
      <c r="L227" s="263"/>
      <c r="M227" s="263"/>
      <c r="N227" s="270">
        <v>0</v>
      </c>
    </row>
    <row r="228" spans="1:14" ht="15" customHeight="1">
      <c r="A228" s="320"/>
      <c r="B228" s="320"/>
      <c r="C228" s="327"/>
      <c r="D228" s="95">
        <v>1</v>
      </c>
      <c r="E228" s="169">
        <v>1</v>
      </c>
      <c r="F228" s="169"/>
      <c r="G228" s="169">
        <v>1</v>
      </c>
      <c r="H228" s="169"/>
      <c r="I228" s="169"/>
      <c r="J228" s="147">
        <v>1950</v>
      </c>
      <c r="K228" s="169" t="s">
        <v>41</v>
      </c>
      <c r="L228" s="263"/>
      <c r="M228" s="263"/>
      <c r="N228" s="270">
        <v>0</v>
      </c>
    </row>
    <row r="229" spans="1:14" ht="15" customHeight="1">
      <c r="A229" s="320"/>
      <c r="B229" s="320"/>
      <c r="C229" s="327"/>
      <c r="D229" s="95">
        <v>1</v>
      </c>
      <c r="E229" s="169"/>
      <c r="F229" s="169">
        <v>1</v>
      </c>
      <c r="G229" s="169">
        <v>1</v>
      </c>
      <c r="H229" s="262"/>
      <c r="I229" s="262"/>
      <c r="J229" s="169">
        <v>1926</v>
      </c>
      <c r="K229" s="169" t="s">
        <v>41</v>
      </c>
      <c r="L229" s="270">
        <v>0</v>
      </c>
      <c r="M229" s="169"/>
      <c r="N229" s="275"/>
    </row>
    <row r="230" spans="1:14" ht="15" customHeight="1">
      <c r="A230" s="320"/>
      <c r="B230" s="320"/>
      <c r="C230" s="327"/>
      <c r="D230" s="95">
        <v>1</v>
      </c>
      <c r="E230" s="169">
        <v>1</v>
      </c>
      <c r="F230" s="169"/>
      <c r="G230" s="169">
        <v>1</v>
      </c>
      <c r="H230" s="262"/>
      <c r="I230" s="262"/>
      <c r="J230" s="169">
        <v>1951</v>
      </c>
      <c r="K230" s="169" t="s">
        <v>41</v>
      </c>
      <c r="L230" s="270">
        <v>0</v>
      </c>
      <c r="M230" s="169"/>
      <c r="N230" s="275"/>
    </row>
    <row r="231" spans="1:14" ht="15" customHeight="1">
      <c r="A231" s="320"/>
      <c r="B231" s="320"/>
      <c r="C231" s="327"/>
      <c r="D231" s="95"/>
      <c r="E231" s="262"/>
      <c r="F231" s="169"/>
      <c r="G231" s="169"/>
      <c r="H231" s="262"/>
      <c r="I231" s="262"/>
      <c r="J231" s="65"/>
      <c r="K231" s="169" t="s">
        <v>41</v>
      </c>
      <c r="L231" s="270">
        <v>0</v>
      </c>
      <c r="M231" s="262"/>
      <c r="N231" s="275"/>
    </row>
    <row r="232" spans="1:14" ht="15" customHeight="1">
      <c r="A232" s="320"/>
      <c r="B232" s="320"/>
      <c r="C232" s="327"/>
      <c r="D232" s="95">
        <v>1</v>
      </c>
      <c r="E232" s="262"/>
      <c r="F232" s="169">
        <v>1</v>
      </c>
      <c r="G232" s="169">
        <v>1</v>
      </c>
      <c r="H232" s="262"/>
      <c r="I232" s="262"/>
      <c r="J232" s="169">
        <v>1920</v>
      </c>
      <c r="K232" s="169" t="s">
        <v>41</v>
      </c>
      <c r="L232" s="169"/>
      <c r="M232" s="262"/>
      <c r="N232" s="270">
        <v>518</v>
      </c>
    </row>
    <row r="233" spans="1:14" ht="15" customHeight="1">
      <c r="A233" s="320"/>
      <c r="B233" s="320"/>
      <c r="C233" s="327"/>
      <c r="D233" s="95">
        <v>1</v>
      </c>
      <c r="E233" s="169"/>
      <c r="F233" s="169">
        <v>1</v>
      </c>
      <c r="G233" s="169">
        <v>1</v>
      </c>
      <c r="H233" s="262"/>
      <c r="I233" s="262"/>
      <c r="J233" s="169">
        <v>1940</v>
      </c>
      <c r="K233" s="263" t="s">
        <v>42</v>
      </c>
      <c r="L233" s="270">
        <v>0</v>
      </c>
      <c r="M233" s="169"/>
      <c r="N233" s="262"/>
    </row>
    <row r="234" spans="1:14" ht="15" customHeight="1">
      <c r="A234" s="320"/>
      <c r="B234" s="320"/>
      <c r="C234" s="327"/>
      <c r="D234" s="95">
        <v>1</v>
      </c>
      <c r="E234" s="169">
        <v>1</v>
      </c>
      <c r="F234" s="169"/>
      <c r="G234" s="169">
        <v>1</v>
      </c>
      <c r="H234" s="262"/>
      <c r="I234" s="262"/>
      <c r="J234" s="169">
        <v>1927</v>
      </c>
      <c r="K234" s="169" t="s">
        <v>41</v>
      </c>
      <c r="L234" s="270">
        <v>0</v>
      </c>
      <c r="M234" s="169"/>
      <c r="N234" s="262"/>
    </row>
    <row r="235" spans="1:14" ht="15" customHeight="1">
      <c r="A235" s="320"/>
      <c r="B235" s="320"/>
      <c r="C235" s="327"/>
      <c r="D235" s="95">
        <v>1</v>
      </c>
      <c r="E235" s="169"/>
      <c r="F235" s="169">
        <v>1</v>
      </c>
      <c r="G235" s="169">
        <v>1</v>
      </c>
      <c r="H235" s="262"/>
      <c r="I235" s="262"/>
      <c r="J235" s="169">
        <v>1916</v>
      </c>
      <c r="K235" s="169" t="s">
        <v>41</v>
      </c>
      <c r="L235" s="270">
        <v>0</v>
      </c>
      <c r="M235" s="169"/>
      <c r="N235" s="262"/>
    </row>
    <row r="236" spans="1:14" ht="15" customHeight="1">
      <c r="A236" s="320"/>
      <c r="B236" s="320"/>
      <c r="C236" s="327"/>
      <c r="D236" s="95"/>
      <c r="E236" s="169"/>
      <c r="F236" s="169"/>
      <c r="G236" s="169"/>
      <c r="H236" s="262"/>
      <c r="I236" s="262"/>
      <c r="J236" s="169"/>
      <c r="K236" s="263" t="s">
        <v>42</v>
      </c>
      <c r="L236" s="270">
        <v>0</v>
      </c>
      <c r="M236" s="169"/>
      <c r="N236" s="262"/>
    </row>
    <row r="237" spans="1:14" ht="15" customHeight="1">
      <c r="A237" s="320"/>
      <c r="B237" s="320"/>
      <c r="C237" s="327"/>
      <c r="D237" s="95">
        <v>1</v>
      </c>
      <c r="E237" s="96">
        <v>1</v>
      </c>
      <c r="F237" s="96"/>
      <c r="G237" s="169">
        <v>1</v>
      </c>
      <c r="H237" s="96"/>
      <c r="I237" s="184"/>
      <c r="J237" s="96">
        <v>1974</v>
      </c>
      <c r="K237" s="263" t="s">
        <v>42</v>
      </c>
      <c r="L237" s="270">
        <v>0</v>
      </c>
      <c r="M237" s="96"/>
      <c r="N237" s="96"/>
    </row>
    <row r="238" spans="1:14" ht="15" customHeight="1">
      <c r="A238" s="320"/>
      <c r="B238" s="320"/>
      <c r="C238" s="327"/>
      <c r="D238" s="95">
        <v>1</v>
      </c>
      <c r="E238" s="169"/>
      <c r="F238" s="169">
        <v>1</v>
      </c>
      <c r="G238" s="169">
        <v>1</v>
      </c>
      <c r="H238" s="262"/>
      <c r="I238" s="262"/>
      <c r="J238" s="169">
        <v>1916</v>
      </c>
      <c r="K238" s="169" t="s">
        <v>41</v>
      </c>
      <c r="L238" s="270">
        <v>0</v>
      </c>
      <c r="M238" s="169"/>
      <c r="N238" s="262"/>
    </row>
    <row r="239" spans="1:14" ht="15" customHeight="1">
      <c r="A239" s="320"/>
      <c r="B239" s="320"/>
      <c r="C239" s="327"/>
      <c r="D239" s="95">
        <v>1</v>
      </c>
      <c r="E239" s="169"/>
      <c r="F239" s="169">
        <v>1</v>
      </c>
      <c r="G239" s="169">
        <v>1</v>
      </c>
      <c r="H239" s="169"/>
      <c r="I239" s="169"/>
      <c r="J239" s="147">
        <v>1928</v>
      </c>
      <c r="K239" s="169" t="s">
        <v>41</v>
      </c>
      <c r="L239" s="263"/>
      <c r="M239" s="263"/>
      <c r="N239" s="270">
        <v>750</v>
      </c>
    </row>
    <row r="240" spans="1:14" ht="15" customHeight="1">
      <c r="A240" s="320"/>
      <c r="B240" s="320"/>
      <c r="C240" s="327"/>
      <c r="D240" s="95">
        <v>1</v>
      </c>
      <c r="E240" s="169"/>
      <c r="F240" s="169">
        <v>1</v>
      </c>
      <c r="G240" s="169">
        <v>1</v>
      </c>
      <c r="H240" s="262"/>
      <c r="I240" s="262"/>
      <c r="J240" s="169">
        <v>1924</v>
      </c>
      <c r="K240" s="169" t="s">
        <v>41</v>
      </c>
      <c r="L240" s="270">
        <v>0</v>
      </c>
      <c r="M240" s="169"/>
      <c r="N240" s="275"/>
    </row>
    <row r="241" spans="1:14" ht="15" customHeight="1">
      <c r="A241" s="320"/>
      <c r="B241" s="320"/>
      <c r="C241" s="327"/>
      <c r="D241" s="95">
        <v>1</v>
      </c>
      <c r="E241" s="169"/>
      <c r="F241" s="169">
        <v>1</v>
      </c>
      <c r="G241" s="169">
        <v>1</v>
      </c>
      <c r="H241" s="262"/>
      <c r="I241" s="262"/>
      <c r="J241" s="169">
        <v>1922</v>
      </c>
      <c r="K241" s="169" t="s">
        <v>41</v>
      </c>
      <c r="L241" s="270">
        <v>0</v>
      </c>
      <c r="M241" s="169"/>
      <c r="N241" s="270"/>
    </row>
    <row r="242" spans="1:14" ht="15" customHeight="1">
      <c r="A242" s="320"/>
      <c r="B242" s="320"/>
      <c r="C242" s="327"/>
      <c r="D242" s="95">
        <v>1</v>
      </c>
      <c r="E242" s="169"/>
      <c r="F242" s="169">
        <v>1</v>
      </c>
      <c r="G242" s="169">
        <v>1</v>
      </c>
      <c r="H242" s="262"/>
      <c r="I242" s="262"/>
      <c r="J242" s="169">
        <v>1922</v>
      </c>
      <c r="K242" s="169" t="s">
        <v>41</v>
      </c>
      <c r="L242" s="270"/>
      <c r="M242" s="169"/>
      <c r="N242" s="270">
        <v>725</v>
      </c>
    </row>
    <row r="243" spans="1:14" ht="15" customHeight="1">
      <c r="A243" s="320"/>
      <c r="B243" s="320"/>
      <c r="C243" s="327"/>
      <c r="D243" s="95">
        <v>1</v>
      </c>
      <c r="E243" s="169"/>
      <c r="F243" s="169">
        <v>1</v>
      </c>
      <c r="G243" s="169">
        <v>1</v>
      </c>
      <c r="H243" s="262"/>
      <c r="I243" s="262"/>
      <c r="J243" s="169">
        <v>1927</v>
      </c>
      <c r="K243" s="169" t="s">
        <v>41</v>
      </c>
      <c r="L243" s="270">
        <v>0</v>
      </c>
      <c r="M243" s="274"/>
      <c r="N243" s="270"/>
    </row>
    <row r="244" spans="1:14" ht="15" customHeight="1">
      <c r="A244" s="320"/>
      <c r="B244" s="320"/>
      <c r="C244" s="327"/>
      <c r="D244" s="95">
        <v>1</v>
      </c>
      <c r="E244" s="169"/>
      <c r="F244" s="169">
        <v>1</v>
      </c>
      <c r="G244" s="169">
        <v>1</v>
      </c>
      <c r="H244" s="262"/>
      <c r="I244" s="262"/>
      <c r="J244" s="169">
        <v>1927</v>
      </c>
      <c r="K244" s="169" t="s">
        <v>41</v>
      </c>
      <c r="L244" s="270"/>
      <c r="M244" s="274"/>
      <c r="N244" s="270">
        <v>202.08</v>
      </c>
    </row>
    <row r="245" spans="1:14" ht="15" customHeight="1">
      <c r="A245" s="320"/>
      <c r="B245" s="320"/>
      <c r="C245" s="327"/>
      <c r="D245" s="95">
        <v>1</v>
      </c>
      <c r="E245" s="147">
        <v>1</v>
      </c>
      <c r="F245" s="147"/>
      <c r="G245" s="169">
        <v>1</v>
      </c>
      <c r="H245" s="147"/>
      <c r="I245" s="147"/>
      <c r="J245" s="147">
        <v>1927</v>
      </c>
      <c r="K245" s="263" t="s">
        <v>42</v>
      </c>
      <c r="L245" s="270">
        <v>0</v>
      </c>
      <c r="M245" s="147"/>
      <c r="N245" s="275"/>
    </row>
    <row r="246" spans="1:14" ht="15" customHeight="1">
      <c r="A246" s="318"/>
      <c r="B246" s="318"/>
      <c r="C246" s="327"/>
      <c r="D246" s="95">
        <v>1</v>
      </c>
      <c r="E246" s="147"/>
      <c r="F246" s="147">
        <v>1</v>
      </c>
      <c r="G246" s="169">
        <v>1</v>
      </c>
      <c r="H246" s="147"/>
      <c r="I246" s="147"/>
      <c r="J246" s="147">
        <v>1926</v>
      </c>
      <c r="K246" s="169" t="s">
        <v>41</v>
      </c>
      <c r="L246" s="270">
        <v>0</v>
      </c>
      <c r="M246" s="147"/>
      <c r="N246" s="275"/>
    </row>
    <row r="247" spans="1:14" ht="15" customHeight="1">
      <c r="A247" s="318"/>
      <c r="B247" s="318"/>
      <c r="C247" s="327"/>
      <c r="D247" s="95">
        <v>1</v>
      </c>
      <c r="E247" s="169"/>
      <c r="F247" s="169">
        <v>1</v>
      </c>
      <c r="G247" s="169">
        <v>1</v>
      </c>
      <c r="H247" s="169"/>
      <c r="I247" s="169"/>
      <c r="J247" s="169">
        <v>1916</v>
      </c>
      <c r="K247" s="263" t="s">
        <v>42</v>
      </c>
      <c r="L247" s="270">
        <v>480</v>
      </c>
      <c r="M247" s="55"/>
      <c r="N247" s="55"/>
    </row>
    <row r="248" spans="1:14" ht="15" customHeight="1">
      <c r="A248" s="318"/>
      <c r="B248" s="318"/>
      <c r="C248" s="327"/>
      <c r="D248" s="95">
        <v>1</v>
      </c>
      <c r="E248" s="232"/>
      <c r="F248" s="169">
        <v>1</v>
      </c>
      <c r="G248" s="169">
        <v>1</v>
      </c>
      <c r="H248" s="265"/>
      <c r="I248" s="265"/>
      <c r="J248" s="169">
        <v>1927</v>
      </c>
      <c r="K248" s="169" t="s">
        <v>41</v>
      </c>
      <c r="L248" s="270">
        <v>0</v>
      </c>
      <c r="M248" s="232"/>
      <c r="N248" s="275"/>
    </row>
    <row r="249" spans="1:14" ht="15" customHeight="1">
      <c r="A249" s="318"/>
      <c r="B249" s="318"/>
      <c r="C249" s="327"/>
      <c r="D249" s="95">
        <v>1</v>
      </c>
      <c r="E249" s="169"/>
      <c r="F249" s="169">
        <v>1</v>
      </c>
      <c r="G249" s="169">
        <v>1</v>
      </c>
      <c r="H249" s="169"/>
      <c r="I249" s="169"/>
      <c r="J249" s="96">
        <v>1920</v>
      </c>
      <c r="K249" s="169" t="s">
        <v>41</v>
      </c>
      <c r="L249" s="263"/>
      <c r="M249" s="274"/>
      <c r="N249" s="270">
        <v>245.58</v>
      </c>
    </row>
    <row r="250" spans="1:14" ht="15" customHeight="1">
      <c r="A250" s="318"/>
      <c r="B250" s="318"/>
      <c r="C250" s="327"/>
      <c r="D250" s="95">
        <v>1</v>
      </c>
      <c r="E250" s="169"/>
      <c r="F250" s="169">
        <v>1</v>
      </c>
      <c r="G250" s="169">
        <v>1</v>
      </c>
      <c r="H250" s="262"/>
      <c r="I250" s="262"/>
      <c r="J250" s="147">
        <v>1920</v>
      </c>
      <c r="K250" s="169" t="s">
        <v>41</v>
      </c>
      <c r="L250" s="169"/>
      <c r="M250" s="289"/>
      <c r="N250" s="270">
        <v>430.14</v>
      </c>
    </row>
    <row r="251" spans="1:14" ht="15" customHeight="1">
      <c r="A251" s="318"/>
      <c r="B251" s="318"/>
      <c r="C251" s="327"/>
      <c r="D251" s="95">
        <v>1</v>
      </c>
      <c r="E251" s="169"/>
      <c r="F251" s="169">
        <v>1</v>
      </c>
      <c r="G251" s="169">
        <v>1</v>
      </c>
      <c r="H251" s="169"/>
      <c r="I251" s="169"/>
      <c r="J251" s="169">
        <v>1920</v>
      </c>
      <c r="K251" s="263" t="s">
        <v>42</v>
      </c>
      <c r="L251" s="270">
        <v>480</v>
      </c>
      <c r="M251" s="55"/>
      <c r="N251" s="55"/>
    </row>
    <row r="252" spans="1:14" ht="15" customHeight="1">
      <c r="A252" s="318"/>
      <c r="B252" s="318"/>
      <c r="C252" s="327"/>
      <c r="D252" s="95">
        <v>1</v>
      </c>
      <c r="E252" s="169">
        <v>1</v>
      </c>
      <c r="F252" s="169"/>
      <c r="G252" s="169">
        <v>1</v>
      </c>
      <c r="H252" s="262"/>
      <c r="I252" s="262"/>
      <c r="J252" s="169">
        <v>1927</v>
      </c>
      <c r="K252" s="169" t="s">
        <v>41</v>
      </c>
      <c r="L252" s="270">
        <v>0</v>
      </c>
      <c r="M252" s="169"/>
      <c r="N252" s="275"/>
    </row>
    <row r="253" spans="1:14" ht="15" customHeight="1">
      <c r="A253" s="318"/>
      <c r="B253" s="318"/>
      <c r="C253" s="327"/>
      <c r="D253" s="95">
        <v>1</v>
      </c>
      <c r="E253" s="147">
        <v>1</v>
      </c>
      <c r="F253" s="147"/>
      <c r="G253" s="169">
        <v>1</v>
      </c>
      <c r="H253" s="147"/>
      <c r="I253" s="147"/>
      <c r="J253" s="147">
        <v>1926</v>
      </c>
      <c r="K253" s="169" t="s">
        <v>41</v>
      </c>
      <c r="L253" s="270">
        <v>0</v>
      </c>
      <c r="M253" s="147"/>
      <c r="N253" s="275"/>
    </row>
    <row r="254" spans="1:14" ht="15" customHeight="1">
      <c r="A254" s="318"/>
      <c r="B254" s="318"/>
      <c r="C254" s="327"/>
      <c r="D254" s="95">
        <v>1</v>
      </c>
      <c r="E254" s="169"/>
      <c r="F254" s="169">
        <v>1</v>
      </c>
      <c r="G254" s="169">
        <v>1</v>
      </c>
      <c r="H254" s="262"/>
      <c r="I254" s="262"/>
      <c r="J254" s="169">
        <v>1927</v>
      </c>
      <c r="K254" s="169" t="s">
        <v>41</v>
      </c>
      <c r="L254" s="270">
        <v>0</v>
      </c>
      <c r="M254" s="169"/>
      <c r="N254" s="275"/>
    </row>
    <row r="255" spans="1:14" ht="15" customHeight="1">
      <c r="A255" s="318"/>
      <c r="B255" s="318"/>
      <c r="C255" s="327"/>
      <c r="D255" s="95">
        <v>1</v>
      </c>
      <c r="E255" s="147"/>
      <c r="F255" s="147">
        <v>1</v>
      </c>
      <c r="G255" s="169">
        <v>1</v>
      </c>
      <c r="H255" s="147"/>
      <c r="I255" s="147"/>
      <c r="J255" s="147">
        <v>1935</v>
      </c>
      <c r="K255" s="169" t="s">
        <v>41</v>
      </c>
      <c r="L255" s="270">
        <v>0</v>
      </c>
      <c r="M255" s="147"/>
      <c r="N255" s="275"/>
    </row>
    <row r="256" spans="1:14" ht="15" customHeight="1">
      <c r="A256" s="318"/>
      <c r="B256" s="318"/>
      <c r="C256" s="327"/>
      <c r="D256" s="95">
        <v>1</v>
      </c>
      <c r="E256" s="147">
        <v>1</v>
      </c>
      <c r="F256" s="147"/>
      <c r="G256" s="169">
        <v>1</v>
      </c>
      <c r="H256" s="147"/>
      <c r="I256" s="288"/>
      <c r="J256" s="147">
        <v>1915</v>
      </c>
      <c r="K256" s="169" t="s">
        <v>41</v>
      </c>
      <c r="L256" s="270">
        <v>0</v>
      </c>
      <c r="M256" s="147"/>
      <c r="N256" s="275"/>
    </row>
    <row r="257" spans="1:14" ht="15" customHeight="1">
      <c r="A257" s="318"/>
      <c r="B257" s="318"/>
      <c r="C257" s="327"/>
      <c r="D257" s="95">
        <v>1</v>
      </c>
      <c r="E257" s="147">
        <v>1</v>
      </c>
      <c r="F257" s="147"/>
      <c r="G257" s="169">
        <v>1</v>
      </c>
      <c r="H257" s="147"/>
      <c r="I257" s="147"/>
      <c r="J257" s="147">
        <v>1931</v>
      </c>
      <c r="K257" s="169" t="s">
        <v>41</v>
      </c>
      <c r="L257" s="270">
        <v>0</v>
      </c>
      <c r="M257" s="274"/>
      <c r="N257" s="275"/>
    </row>
    <row r="258" spans="1:14" ht="15" customHeight="1">
      <c r="A258" s="318"/>
      <c r="B258" s="318"/>
      <c r="C258" s="327"/>
      <c r="D258" s="95">
        <v>1</v>
      </c>
      <c r="E258" s="147">
        <v>1</v>
      </c>
      <c r="F258" s="147"/>
      <c r="G258" s="169">
        <v>1</v>
      </c>
      <c r="H258" s="147"/>
      <c r="I258" s="147"/>
      <c r="J258" s="147">
        <v>1931</v>
      </c>
      <c r="K258" s="169" t="s">
        <v>41</v>
      </c>
      <c r="L258" s="270"/>
      <c r="M258" s="274"/>
      <c r="N258" s="270">
        <v>1072.71</v>
      </c>
    </row>
    <row r="259" spans="1:14" ht="15" customHeight="1">
      <c r="A259" s="318"/>
      <c r="B259" s="318"/>
      <c r="C259" s="327"/>
      <c r="D259" s="95">
        <v>1</v>
      </c>
      <c r="E259" s="147"/>
      <c r="F259" s="147">
        <v>1</v>
      </c>
      <c r="G259" s="169">
        <v>1</v>
      </c>
      <c r="H259" s="147"/>
      <c r="I259" s="147"/>
      <c r="J259" s="147">
        <v>1930</v>
      </c>
      <c r="K259" s="169" t="s">
        <v>41</v>
      </c>
      <c r="L259" s="270">
        <v>0</v>
      </c>
      <c r="M259" s="274"/>
      <c r="N259" s="275"/>
    </row>
    <row r="260" spans="1:14" ht="15" customHeight="1">
      <c r="A260" s="318"/>
      <c r="B260" s="318"/>
      <c r="C260" s="327"/>
      <c r="D260" s="95">
        <v>1</v>
      </c>
      <c r="E260" s="147"/>
      <c r="F260" s="147">
        <v>1</v>
      </c>
      <c r="G260" s="169">
        <v>1</v>
      </c>
      <c r="H260" s="147"/>
      <c r="I260" s="147"/>
      <c r="J260" s="147">
        <v>1937</v>
      </c>
      <c r="K260" s="169" t="s">
        <v>41</v>
      </c>
      <c r="L260" s="270">
        <v>0</v>
      </c>
      <c r="M260" s="147"/>
      <c r="N260" s="275"/>
    </row>
    <row r="261" spans="1:14" ht="15" customHeight="1">
      <c r="A261" s="318"/>
      <c r="B261" s="318"/>
      <c r="C261" s="327"/>
      <c r="D261" s="95">
        <v>1</v>
      </c>
      <c r="E261" s="147"/>
      <c r="F261" s="147">
        <v>1</v>
      </c>
      <c r="G261" s="169">
        <v>1</v>
      </c>
      <c r="H261" s="147"/>
      <c r="I261" s="147"/>
      <c r="J261" s="147">
        <v>1937</v>
      </c>
      <c r="K261" s="169" t="s">
        <v>41</v>
      </c>
      <c r="L261" s="270"/>
      <c r="M261" s="147"/>
      <c r="N261" s="270">
        <v>481.74</v>
      </c>
    </row>
    <row r="262" spans="1:14" ht="15" customHeight="1">
      <c r="A262" s="318"/>
      <c r="B262" s="318"/>
      <c r="C262" s="327"/>
      <c r="D262" s="95">
        <v>1</v>
      </c>
      <c r="E262" s="147"/>
      <c r="F262" s="147">
        <v>1</v>
      </c>
      <c r="G262" s="169">
        <v>1</v>
      </c>
      <c r="H262" s="147"/>
      <c r="I262" s="147"/>
      <c r="J262" s="147">
        <v>1923</v>
      </c>
      <c r="K262" s="169" t="s">
        <v>41</v>
      </c>
      <c r="L262" s="270">
        <v>0</v>
      </c>
      <c r="M262" s="147"/>
      <c r="N262" s="275"/>
    </row>
    <row r="263" spans="1:14" s="69" customFormat="1" ht="15" customHeight="1">
      <c r="A263" s="308" t="s">
        <v>100</v>
      </c>
      <c r="B263" s="308"/>
      <c r="C263" s="68"/>
      <c r="D263" s="68">
        <f>SUM(D190:D262)</f>
        <v>70</v>
      </c>
      <c r="E263" s="68">
        <f>SUM(E190:E262)</f>
        <v>29</v>
      </c>
      <c r="F263" s="68">
        <f>SUM(F190:F262)</f>
        <v>41</v>
      </c>
      <c r="G263" s="68">
        <f>SUM(G190:G262)</f>
        <v>70</v>
      </c>
      <c r="H263" s="68">
        <f>SUM(H190:H262)</f>
        <v>0</v>
      </c>
      <c r="I263" s="68"/>
      <c r="J263" s="68"/>
      <c r="K263" s="68"/>
      <c r="L263" s="290">
        <f>SUM(L190:L262)</f>
        <v>1440</v>
      </c>
      <c r="M263" s="290">
        <f>SUM(M190:M262)</f>
        <v>0</v>
      </c>
      <c r="N263" s="290">
        <f>SUM(N190:N262)</f>
        <v>10224.24</v>
      </c>
    </row>
    <row r="264" spans="1:14" s="292" customFormat="1" ht="15" customHeight="1">
      <c r="A264" s="309" t="s">
        <v>112</v>
      </c>
      <c r="B264" s="309"/>
      <c r="C264" s="71"/>
      <c r="D264" s="71">
        <f>SUM(D14,D90,D105,D115,D145,D137,D181,D187,D263)</f>
        <v>227</v>
      </c>
      <c r="E264" s="71">
        <f>SUM(E14,E90,E105,E115,E145,E137,E181,E187,E263)</f>
        <v>83</v>
      </c>
      <c r="F264" s="71">
        <f>SUM(F14,F90,F105,F115,F145,F137,F181,F187,F263)</f>
        <v>144</v>
      </c>
      <c r="G264" s="71">
        <f>SUM(G14,G90,G105,G115,G145,G137,G181,G187,G263)</f>
        <v>225</v>
      </c>
      <c r="H264" s="71">
        <f>SUM(H14,H90,H105,H115,H145,H137,H181,H187,H263)</f>
        <v>1</v>
      </c>
      <c r="I264" s="71"/>
      <c r="J264" s="68"/>
      <c r="K264" s="68"/>
      <c r="L264" s="291">
        <f>SUM(L14,L90,L105,L115,L145,L137,L181,L187,L263)</f>
        <v>6930</v>
      </c>
      <c r="M264" s="291">
        <f>SUM(M14,M90,M105,M115,M145,M137,M181,M187,M263)</f>
        <v>15012.45</v>
      </c>
      <c r="N264" s="291">
        <f>SUM(N14,N90,N105,N115,N145,N137,N181,N187,N263)</f>
        <v>30925.489999999998</v>
      </c>
    </row>
    <row r="265" spans="1:14" ht="30" customHeight="1">
      <c r="A265" s="307"/>
      <c r="B265" s="307"/>
      <c r="C265" s="307"/>
      <c r="D265" s="307"/>
      <c r="E265" s="307"/>
      <c r="F265" s="307"/>
      <c r="G265" s="307"/>
      <c r="H265" s="307"/>
      <c r="I265" s="307"/>
      <c r="J265" s="307"/>
      <c r="K265" s="307"/>
      <c r="L265" s="307"/>
      <c r="M265" s="307"/>
      <c r="N265" s="307"/>
    </row>
    <row r="266" spans="1:14" ht="30" customHeight="1">
      <c r="A266" s="339" t="s">
        <v>113</v>
      </c>
      <c r="B266" s="339"/>
      <c r="C266" s="339"/>
      <c r="D266" s="339"/>
      <c r="E266" s="339"/>
      <c r="F266" s="339"/>
      <c r="G266" s="339"/>
      <c r="H266" s="339"/>
      <c r="I266" s="339"/>
      <c r="J266" s="339"/>
      <c r="K266" s="339"/>
      <c r="L266" s="339"/>
      <c r="M266" s="339"/>
      <c r="N266" s="339"/>
    </row>
    <row r="267" spans="1:14" ht="15" customHeight="1">
      <c r="A267" s="340" t="s">
        <v>78</v>
      </c>
      <c r="B267" s="341"/>
      <c r="C267" s="41"/>
      <c r="D267" s="42"/>
      <c r="E267" s="26"/>
      <c r="F267" s="26"/>
      <c r="G267" s="26"/>
      <c r="H267" s="26"/>
      <c r="I267" s="26"/>
      <c r="J267" s="26"/>
      <c r="K267" s="26"/>
      <c r="L267" s="6" t="s">
        <v>36</v>
      </c>
      <c r="M267" s="6" t="s">
        <v>132</v>
      </c>
      <c r="N267" s="6" t="s">
        <v>133</v>
      </c>
    </row>
    <row r="268" spans="1:14" ht="90" customHeight="1">
      <c r="A268" s="7" t="s">
        <v>20</v>
      </c>
      <c r="B268" s="7" t="s">
        <v>1</v>
      </c>
      <c r="C268" s="7" t="s">
        <v>3</v>
      </c>
      <c r="D268" s="6" t="s">
        <v>120</v>
      </c>
      <c r="E268" s="7" t="s">
        <v>90</v>
      </c>
      <c r="F268" s="7" t="s">
        <v>91</v>
      </c>
      <c r="G268" s="7" t="s">
        <v>140</v>
      </c>
      <c r="H268" s="7" t="s">
        <v>127</v>
      </c>
      <c r="I268" s="7" t="s">
        <v>159</v>
      </c>
      <c r="J268" s="7" t="s">
        <v>119</v>
      </c>
      <c r="K268" s="7"/>
      <c r="L268" s="43" t="s">
        <v>149</v>
      </c>
      <c r="M268" s="43" t="s">
        <v>158</v>
      </c>
      <c r="N268" s="34">
        <v>3415</v>
      </c>
    </row>
    <row r="269" spans="1:14" ht="12.75">
      <c r="A269" s="328"/>
      <c r="B269" s="318"/>
      <c r="C269" s="323"/>
      <c r="D269" s="288">
        <v>1</v>
      </c>
      <c r="E269" s="288"/>
      <c r="F269" s="288">
        <v>1</v>
      </c>
      <c r="G269" s="288"/>
      <c r="H269" s="147">
        <v>1</v>
      </c>
      <c r="I269" s="293" t="s">
        <v>37</v>
      </c>
      <c r="J269" s="263">
        <v>1974</v>
      </c>
      <c r="K269" s="263"/>
      <c r="L269" s="147"/>
      <c r="M269" s="147"/>
      <c r="N269" s="147"/>
    </row>
    <row r="270" spans="1:14" ht="15" customHeight="1">
      <c r="A270" s="328"/>
      <c r="B270" s="318"/>
      <c r="C270" s="327"/>
      <c r="D270" s="288">
        <v>1</v>
      </c>
      <c r="E270" s="288"/>
      <c r="F270" s="288">
        <v>1</v>
      </c>
      <c r="G270" s="288">
        <v>1</v>
      </c>
      <c r="H270" s="293"/>
      <c r="I270" s="293" t="s">
        <v>160</v>
      </c>
      <c r="J270" s="293">
        <v>1957</v>
      </c>
      <c r="K270" s="293"/>
      <c r="L270" s="293"/>
      <c r="M270" s="293"/>
      <c r="N270" s="163"/>
    </row>
    <row r="271" spans="1:14" ht="15" customHeight="1">
      <c r="A271" s="328"/>
      <c r="B271" s="318"/>
      <c r="C271" s="327"/>
      <c r="D271" s="288">
        <v>1</v>
      </c>
      <c r="E271" s="288"/>
      <c r="F271" s="288">
        <v>1</v>
      </c>
      <c r="G271" s="288"/>
      <c r="H271" s="293">
        <v>1</v>
      </c>
      <c r="I271" s="293" t="s">
        <v>161</v>
      </c>
      <c r="J271" s="293">
        <v>1966</v>
      </c>
      <c r="K271" s="293"/>
      <c r="L271" s="293"/>
      <c r="M271" s="293"/>
      <c r="N271" s="163"/>
    </row>
    <row r="272" spans="1:14" ht="15" customHeight="1">
      <c r="A272" s="328"/>
      <c r="B272" s="318"/>
      <c r="C272" s="327"/>
      <c r="D272" s="288">
        <v>1</v>
      </c>
      <c r="E272" s="288"/>
      <c r="F272" s="288">
        <v>1</v>
      </c>
      <c r="G272" s="288"/>
      <c r="H272" s="293">
        <v>1</v>
      </c>
      <c r="I272" s="263" t="s">
        <v>161</v>
      </c>
      <c r="J272" s="293">
        <v>1981</v>
      </c>
      <c r="K272" s="293"/>
      <c r="L272" s="293"/>
      <c r="M272" s="293"/>
      <c r="N272" s="163"/>
    </row>
    <row r="273" spans="1:14" ht="15" customHeight="1">
      <c r="A273" s="328"/>
      <c r="B273" s="318"/>
      <c r="C273" s="327"/>
      <c r="D273" s="288">
        <v>1</v>
      </c>
      <c r="E273" s="288"/>
      <c r="F273" s="288">
        <v>1</v>
      </c>
      <c r="G273" s="288"/>
      <c r="H273" s="293">
        <v>1</v>
      </c>
      <c r="I273" s="293" t="s">
        <v>162</v>
      </c>
      <c r="J273" s="293">
        <v>1966</v>
      </c>
      <c r="K273" s="293"/>
      <c r="L273" s="293"/>
      <c r="M273" s="293"/>
      <c r="N273" s="163"/>
    </row>
    <row r="274" spans="1:14" ht="15" customHeight="1">
      <c r="A274" s="328"/>
      <c r="B274" s="318"/>
      <c r="C274" s="327"/>
      <c r="D274" s="288">
        <v>1</v>
      </c>
      <c r="E274" s="288"/>
      <c r="F274" s="288">
        <v>1</v>
      </c>
      <c r="G274" s="288"/>
      <c r="H274" s="293">
        <v>1</v>
      </c>
      <c r="I274" s="293" t="s">
        <v>163</v>
      </c>
      <c r="J274" s="293">
        <v>1971</v>
      </c>
      <c r="K274" s="293"/>
      <c r="L274" s="293"/>
      <c r="M274" s="293"/>
      <c r="N274" s="163"/>
    </row>
    <row r="275" spans="1:14" ht="15" customHeight="1">
      <c r="A275" s="328"/>
      <c r="B275" s="318"/>
      <c r="C275" s="327"/>
      <c r="D275" s="288">
        <v>1</v>
      </c>
      <c r="E275" s="288"/>
      <c r="F275" s="288">
        <v>1</v>
      </c>
      <c r="G275" s="288"/>
      <c r="H275" s="293">
        <v>1</v>
      </c>
      <c r="I275" s="293" t="s">
        <v>162</v>
      </c>
      <c r="J275" s="293">
        <v>1954</v>
      </c>
      <c r="K275" s="293"/>
      <c r="L275" s="293"/>
      <c r="M275" s="293"/>
      <c r="N275" s="163"/>
    </row>
    <row r="276" spans="1:14" ht="15" customHeight="1">
      <c r="A276" s="328"/>
      <c r="B276" s="318"/>
      <c r="C276" s="327"/>
      <c r="D276" s="288">
        <v>1</v>
      </c>
      <c r="E276" s="288"/>
      <c r="F276" s="288">
        <v>1</v>
      </c>
      <c r="G276" s="288"/>
      <c r="H276" s="293">
        <v>1</v>
      </c>
      <c r="I276" s="293" t="s">
        <v>161</v>
      </c>
      <c r="J276" s="293">
        <v>1967</v>
      </c>
      <c r="K276" s="293"/>
      <c r="L276" s="293"/>
      <c r="M276" s="293"/>
      <c r="N276" s="163"/>
    </row>
    <row r="277" spans="1:14" ht="15" customHeight="1">
      <c r="A277" s="328"/>
      <c r="B277" s="318"/>
      <c r="C277" s="327"/>
      <c r="D277" s="288">
        <v>1</v>
      </c>
      <c r="E277" s="288"/>
      <c r="F277" s="288">
        <v>1</v>
      </c>
      <c r="G277" s="288"/>
      <c r="H277" s="293">
        <v>1</v>
      </c>
      <c r="I277" s="263" t="s">
        <v>161</v>
      </c>
      <c r="J277" s="293">
        <v>1972</v>
      </c>
      <c r="K277" s="293"/>
      <c r="L277" s="293"/>
      <c r="M277" s="293"/>
      <c r="N277" s="163"/>
    </row>
    <row r="278" spans="1:14" ht="15" customHeight="1">
      <c r="A278" s="328"/>
      <c r="B278" s="318"/>
      <c r="C278" s="327"/>
      <c r="D278" s="288">
        <v>1</v>
      </c>
      <c r="E278" s="288"/>
      <c r="F278" s="288">
        <v>1</v>
      </c>
      <c r="G278" s="288"/>
      <c r="H278" s="293">
        <v>1</v>
      </c>
      <c r="I278" s="293" t="s">
        <v>37</v>
      </c>
      <c r="J278" s="293">
        <v>1973</v>
      </c>
      <c r="K278" s="293"/>
      <c r="L278" s="293"/>
      <c r="M278" s="293"/>
      <c r="N278" s="163"/>
    </row>
    <row r="279" spans="1:14" ht="15" customHeight="1">
      <c r="A279" s="328"/>
      <c r="B279" s="318"/>
      <c r="C279" s="327"/>
      <c r="D279" s="288">
        <v>1</v>
      </c>
      <c r="E279" s="288"/>
      <c r="F279" s="288">
        <v>1</v>
      </c>
      <c r="G279" s="288"/>
      <c r="H279" s="293">
        <v>1</v>
      </c>
      <c r="I279" s="293" t="s">
        <v>10</v>
      </c>
      <c r="J279" s="293">
        <v>1990</v>
      </c>
      <c r="K279" s="293"/>
      <c r="L279" s="293"/>
      <c r="M279" s="293"/>
      <c r="N279" s="163"/>
    </row>
    <row r="280" spans="1:14" ht="15" customHeight="1">
      <c r="A280" s="328"/>
      <c r="B280" s="318"/>
      <c r="C280" s="327"/>
      <c r="D280" s="288">
        <v>1</v>
      </c>
      <c r="E280" s="288"/>
      <c r="F280" s="288">
        <v>1</v>
      </c>
      <c r="G280" s="288"/>
      <c r="H280" s="293">
        <v>1</v>
      </c>
      <c r="I280" s="293" t="s">
        <v>164</v>
      </c>
      <c r="J280" s="293">
        <v>1960</v>
      </c>
      <c r="K280" s="293"/>
      <c r="L280" s="293"/>
      <c r="M280" s="293"/>
      <c r="N280" s="163"/>
    </row>
    <row r="281" spans="1:14" ht="15" customHeight="1">
      <c r="A281" s="328"/>
      <c r="B281" s="318"/>
      <c r="C281" s="327"/>
      <c r="D281" s="288">
        <v>1</v>
      </c>
      <c r="E281" s="288"/>
      <c r="F281" s="288">
        <v>1</v>
      </c>
      <c r="G281" s="288"/>
      <c r="H281" s="293">
        <v>1</v>
      </c>
      <c r="I281" s="293" t="s">
        <v>162</v>
      </c>
      <c r="J281" s="293">
        <v>1985</v>
      </c>
      <c r="K281" s="293"/>
      <c r="L281" s="293"/>
      <c r="M281" s="293"/>
      <c r="N281" s="163"/>
    </row>
    <row r="282" spans="1:14" ht="15" customHeight="1">
      <c r="A282" s="328"/>
      <c r="B282" s="318"/>
      <c r="C282" s="327"/>
      <c r="D282" s="288">
        <v>1</v>
      </c>
      <c r="E282" s="288"/>
      <c r="F282" s="288">
        <v>1</v>
      </c>
      <c r="G282" s="288"/>
      <c r="H282" s="293">
        <v>1</v>
      </c>
      <c r="I282" s="293" t="s">
        <v>165</v>
      </c>
      <c r="J282" s="293">
        <v>1958</v>
      </c>
      <c r="K282" s="293"/>
      <c r="L282" s="293"/>
      <c r="M282" s="293"/>
      <c r="N282" s="163"/>
    </row>
    <row r="283" spans="1:14" ht="15" customHeight="1">
      <c r="A283" s="328"/>
      <c r="B283" s="318"/>
      <c r="C283" s="327"/>
      <c r="D283" s="288">
        <v>1</v>
      </c>
      <c r="E283" s="288"/>
      <c r="F283" s="288">
        <v>1</v>
      </c>
      <c r="G283" s="288"/>
      <c r="H283" s="293">
        <v>1</v>
      </c>
      <c r="I283" s="293" t="s">
        <v>164</v>
      </c>
      <c r="J283" s="293">
        <v>1961</v>
      </c>
      <c r="K283" s="293"/>
      <c r="L283" s="293"/>
      <c r="M283" s="293"/>
      <c r="N283" s="163"/>
    </row>
    <row r="284" spans="1:14" ht="15" customHeight="1">
      <c r="A284" s="328"/>
      <c r="B284" s="318"/>
      <c r="C284" s="327"/>
      <c r="D284" s="288">
        <v>1</v>
      </c>
      <c r="E284" s="288"/>
      <c r="F284" s="288">
        <v>1</v>
      </c>
      <c r="G284" s="288"/>
      <c r="H284" s="293">
        <v>1</v>
      </c>
      <c r="I284" s="293" t="s">
        <v>166</v>
      </c>
      <c r="J284" s="293">
        <v>1977</v>
      </c>
      <c r="K284" s="293"/>
      <c r="L284" s="293"/>
      <c r="M284" s="293"/>
      <c r="N284" s="163"/>
    </row>
    <row r="285" spans="1:14" ht="15" customHeight="1">
      <c r="A285" s="328"/>
      <c r="B285" s="318"/>
      <c r="C285" s="327"/>
      <c r="D285" s="288">
        <v>1</v>
      </c>
      <c r="E285" s="288"/>
      <c r="F285" s="288">
        <v>1</v>
      </c>
      <c r="G285" s="288"/>
      <c r="H285" s="293">
        <v>1</v>
      </c>
      <c r="I285" s="293" t="s">
        <v>167</v>
      </c>
      <c r="J285" s="293">
        <v>1988</v>
      </c>
      <c r="K285" s="293"/>
      <c r="L285" s="293"/>
      <c r="M285" s="293"/>
      <c r="N285" s="163"/>
    </row>
    <row r="286" spans="1:14" ht="15" customHeight="1">
      <c r="A286" s="328"/>
      <c r="B286" s="318"/>
      <c r="C286" s="327"/>
      <c r="D286" s="288">
        <v>1</v>
      </c>
      <c r="E286" s="288"/>
      <c r="F286" s="288">
        <v>1</v>
      </c>
      <c r="G286" s="288"/>
      <c r="H286" s="293">
        <v>1</v>
      </c>
      <c r="I286" s="293" t="s">
        <v>165</v>
      </c>
      <c r="J286" s="293">
        <v>1957</v>
      </c>
      <c r="K286" s="293"/>
      <c r="L286" s="293"/>
      <c r="M286" s="293"/>
      <c r="N286" s="163"/>
    </row>
    <row r="287" spans="1:14" ht="15" customHeight="1">
      <c r="A287" s="328"/>
      <c r="B287" s="318"/>
      <c r="C287" s="327"/>
      <c r="D287" s="288">
        <v>1</v>
      </c>
      <c r="E287" s="288"/>
      <c r="F287" s="288">
        <v>1</v>
      </c>
      <c r="G287" s="288"/>
      <c r="H287" s="293">
        <v>1</v>
      </c>
      <c r="I287" s="293" t="s">
        <v>10</v>
      </c>
      <c r="J287" s="293">
        <v>1960</v>
      </c>
      <c r="K287" s="293"/>
      <c r="L287" s="293"/>
      <c r="M287" s="293"/>
      <c r="N287" s="163"/>
    </row>
    <row r="288" spans="1:14" ht="15" customHeight="1">
      <c r="A288" s="328"/>
      <c r="B288" s="318"/>
      <c r="C288" s="327"/>
      <c r="D288" s="288">
        <v>1</v>
      </c>
      <c r="E288" s="288"/>
      <c r="F288" s="288">
        <v>1</v>
      </c>
      <c r="G288" s="288"/>
      <c r="H288" s="293">
        <v>1</v>
      </c>
      <c r="I288" s="263" t="s">
        <v>163</v>
      </c>
      <c r="J288" s="293">
        <v>1974</v>
      </c>
      <c r="K288" s="293"/>
      <c r="L288" s="293"/>
      <c r="M288" s="293"/>
      <c r="N288" s="163"/>
    </row>
    <row r="289" spans="1:14" ht="15" customHeight="1">
      <c r="A289" s="329"/>
      <c r="B289" s="318"/>
      <c r="C289" s="327"/>
      <c r="D289" s="288">
        <v>1</v>
      </c>
      <c r="E289" s="288"/>
      <c r="F289" s="288">
        <v>1</v>
      </c>
      <c r="G289" s="288"/>
      <c r="H289" s="293">
        <v>1</v>
      </c>
      <c r="I289" s="293" t="s">
        <v>168</v>
      </c>
      <c r="J289" s="263">
        <v>1970</v>
      </c>
      <c r="K289" s="263"/>
      <c r="L289" s="293"/>
      <c r="M289" s="293"/>
      <c r="N289" s="163"/>
    </row>
    <row r="290" spans="1:14" ht="15" customHeight="1">
      <c r="A290" s="328"/>
      <c r="B290" s="318"/>
      <c r="C290" s="327"/>
      <c r="D290" s="288">
        <v>1</v>
      </c>
      <c r="E290" s="288">
        <v>1</v>
      </c>
      <c r="F290" s="288"/>
      <c r="G290" s="288"/>
      <c r="H290" s="293">
        <v>1</v>
      </c>
      <c r="I290" s="293" t="s">
        <v>167</v>
      </c>
      <c r="J290" s="293">
        <v>1965</v>
      </c>
      <c r="K290" s="293"/>
      <c r="L290" s="293"/>
      <c r="M290" s="293"/>
      <c r="N290" s="163"/>
    </row>
    <row r="291" spans="1:14" ht="15" customHeight="1">
      <c r="A291" s="328"/>
      <c r="B291" s="318"/>
      <c r="C291" s="327"/>
      <c r="D291" s="288">
        <v>1</v>
      </c>
      <c r="E291" s="288"/>
      <c r="F291" s="288">
        <v>1</v>
      </c>
      <c r="G291" s="288"/>
      <c r="H291" s="293">
        <v>1</v>
      </c>
      <c r="I291" s="293" t="s">
        <v>162</v>
      </c>
      <c r="J291" s="293">
        <v>1963</v>
      </c>
      <c r="K291" s="293"/>
      <c r="L291" s="293"/>
      <c r="M291" s="293"/>
      <c r="N291" s="163"/>
    </row>
    <row r="292" spans="1:14" ht="15" customHeight="1">
      <c r="A292" s="328"/>
      <c r="B292" s="318"/>
      <c r="C292" s="327"/>
      <c r="D292" s="288">
        <v>1</v>
      </c>
      <c r="E292" s="288"/>
      <c r="F292" s="288">
        <v>1</v>
      </c>
      <c r="G292" s="288"/>
      <c r="H292" s="293">
        <v>1</v>
      </c>
      <c r="I292" s="293" t="s">
        <v>163</v>
      </c>
      <c r="J292" s="293">
        <v>1964</v>
      </c>
      <c r="K292" s="293"/>
      <c r="L292" s="293"/>
      <c r="M292" s="293"/>
      <c r="N292" s="163"/>
    </row>
    <row r="293" spans="1:14" ht="15" customHeight="1">
      <c r="A293" s="328"/>
      <c r="B293" s="318"/>
      <c r="C293" s="327"/>
      <c r="D293" s="288">
        <v>1</v>
      </c>
      <c r="E293" s="288"/>
      <c r="F293" s="288">
        <v>1</v>
      </c>
      <c r="G293" s="288"/>
      <c r="H293" s="293">
        <v>1</v>
      </c>
      <c r="I293" s="293" t="s">
        <v>169</v>
      </c>
      <c r="J293" s="293">
        <v>1957</v>
      </c>
      <c r="K293" s="293"/>
      <c r="L293" s="293"/>
      <c r="M293" s="293"/>
      <c r="N293" s="163"/>
    </row>
    <row r="294" spans="1:14" ht="15" customHeight="1">
      <c r="A294" s="328"/>
      <c r="B294" s="318"/>
      <c r="C294" s="327"/>
      <c r="D294" s="288">
        <v>1</v>
      </c>
      <c r="E294" s="288"/>
      <c r="F294" s="288">
        <v>1</v>
      </c>
      <c r="G294" s="288"/>
      <c r="H294" s="293">
        <v>1</v>
      </c>
      <c r="I294" s="293" t="s">
        <v>161</v>
      </c>
      <c r="J294" s="293">
        <v>1979</v>
      </c>
      <c r="K294" s="293"/>
      <c r="L294" s="293"/>
      <c r="M294" s="293"/>
      <c r="N294" s="163"/>
    </row>
    <row r="295" spans="1:14" ht="15" customHeight="1">
      <c r="A295" s="311" t="s">
        <v>94</v>
      </c>
      <c r="B295" s="311"/>
      <c r="C295" s="22"/>
      <c r="D295" s="22">
        <f>SUM(D270:D294)</f>
        <v>25</v>
      </c>
      <c r="E295" s="22">
        <v>1</v>
      </c>
      <c r="F295" s="22">
        <f>SUM(F270:F294)</f>
        <v>24</v>
      </c>
      <c r="G295" s="22">
        <f>SUM(G270:G294)</f>
        <v>1</v>
      </c>
      <c r="H295" s="22">
        <v>24</v>
      </c>
      <c r="I295" s="74"/>
      <c r="J295" s="22"/>
      <c r="K295" s="22"/>
      <c r="L295" s="22"/>
      <c r="M295" s="22"/>
      <c r="N295" s="22"/>
    </row>
    <row r="296" spans="1:14" ht="15" customHeight="1">
      <c r="A296" s="310" t="s">
        <v>83</v>
      </c>
      <c r="B296" s="310"/>
      <c r="C296" s="41"/>
      <c r="D296" s="42"/>
      <c r="E296" s="26"/>
      <c r="F296" s="26"/>
      <c r="G296" s="26"/>
      <c r="H296" s="26"/>
      <c r="I296" s="26"/>
      <c r="J296" s="26"/>
      <c r="K296" s="26"/>
      <c r="L296" s="6" t="s">
        <v>36</v>
      </c>
      <c r="M296" s="6" t="s">
        <v>132</v>
      </c>
      <c r="N296" s="6" t="s">
        <v>133</v>
      </c>
    </row>
    <row r="297" spans="1:14" ht="90" customHeight="1">
      <c r="A297" s="7" t="s">
        <v>20</v>
      </c>
      <c r="B297" s="7" t="s">
        <v>1</v>
      </c>
      <c r="C297" s="7" t="s">
        <v>3</v>
      </c>
      <c r="D297" s="6" t="s">
        <v>120</v>
      </c>
      <c r="E297" s="7" t="s">
        <v>90</v>
      </c>
      <c r="F297" s="7" t="s">
        <v>91</v>
      </c>
      <c r="G297" s="7" t="s">
        <v>140</v>
      </c>
      <c r="H297" s="7" t="s">
        <v>127</v>
      </c>
      <c r="I297" s="7" t="s">
        <v>159</v>
      </c>
      <c r="J297" s="7" t="s">
        <v>119</v>
      </c>
      <c r="K297" s="7"/>
      <c r="L297" s="43" t="s">
        <v>149</v>
      </c>
      <c r="M297" s="43" t="s">
        <v>158</v>
      </c>
      <c r="N297" s="34">
        <v>3415</v>
      </c>
    </row>
    <row r="298" spans="1:14" ht="15" customHeight="1">
      <c r="A298" s="320"/>
      <c r="B298" s="320"/>
      <c r="C298" s="330"/>
      <c r="D298" s="91">
        <v>1</v>
      </c>
      <c r="E298" s="91"/>
      <c r="F298" s="91">
        <v>1</v>
      </c>
      <c r="G298" s="91"/>
      <c r="H298" s="294">
        <v>1</v>
      </c>
      <c r="I298" s="294" t="s">
        <v>167</v>
      </c>
      <c r="J298" s="295">
        <v>1967</v>
      </c>
      <c r="K298" s="295"/>
      <c r="L298" s="2"/>
      <c r="M298" s="2"/>
      <c r="N298" s="2"/>
    </row>
    <row r="299" spans="1:14" ht="15" customHeight="1">
      <c r="A299" s="331"/>
      <c r="B299" s="320"/>
      <c r="C299" s="332"/>
      <c r="D299" s="91">
        <v>1</v>
      </c>
      <c r="E299" s="91"/>
      <c r="F299" s="91">
        <v>1</v>
      </c>
      <c r="G299" s="91"/>
      <c r="H299" s="296">
        <v>1</v>
      </c>
      <c r="I299" s="296" t="s">
        <v>10</v>
      </c>
      <c r="J299" s="296">
        <v>1990</v>
      </c>
      <c r="K299" s="296"/>
      <c r="L299" s="296"/>
      <c r="M299" s="296"/>
      <c r="N299" s="297"/>
    </row>
    <row r="300" spans="1:14" ht="15" customHeight="1">
      <c r="A300" s="331"/>
      <c r="B300" s="320"/>
      <c r="C300" s="332"/>
      <c r="D300" s="91">
        <v>1</v>
      </c>
      <c r="E300" s="91"/>
      <c r="F300" s="91">
        <v>1</v>
      </c>
      <c r="G300" s="91"/>
      <c r="H300" s="296">
        <v>1</v>
      </c>
      <c r="I300" s="296" t="s">
        <v>161</v>
      </c>
      <c r="J300" s="296">
        <v>1977</v>
      </c>
      <c r="K300" s="296"/>
      <c r="L300" s="296"/>
      <c r="M300" s="296"/>
      <c r="N300" s="297"/>
    </row>
    <row r="301" spans="1:14" ht="15" customHeight="1">
      <c r="A301" s="331"/>
      <c r="B301" s="320"/>
      <c r="C301" s="332"/>
      <c r="D301" s="91">
        <v>1</v>
      </c>
      <c r="E301" s="91">
        <v>1</v>
      </c>
      <c r="F301" s="91"/>
      <c r="G301" s="91"/>
      <c r="H301" s="296">
        <v>1</v>
      </c>
      <c r="I301" s="296" t="s">
        <v>161</v>
      </c>
      <c r="J301" s="296">
        <v>1990</v>
      </c>
      <c r="K301" s="296"/>
      <c r="L301" s="296"/>
      <c r="M301" s="296"/>
      <c r="N301" s="297"/>
    </row>
    <row r="302" spans="1:14" ht="15" customHeight="1">
      <c r="A302" s="331"/>
      <c r="B302" s="320"/>
      <c r="C302" s="332"/>
      <c r="D302" s="91">
        <v>1</v>
      </c>
      <c r="E302" s="91"/>
      <c r="F302" s="91">
        <v>1</v>
      </c>
      <c r="G302" s="91">
        <v>1</v>
      </c>
      <c r="H302" s="296"/>
      <c r="I302" s="296" t="s">
        <v>160</v>
      </c>
      <c r="J302" s="296">
        <v>1958</v>
      </c>
      <c r="K302" s="296"/>
      <c r="L302" s="296"/>
      <c r="M302" s="296"/>
      <c r="N302" s="297"/>
    </row>
    <row r="303" spans="1:14" ht="15" customHeight="1">
      <c r="A303" s="331"/>
      <c r="B303" s="320"/>
      <c r="C303" s="332"/>
      <c r="D303" s="91">
        <v>1</v>
      </c>
      <c r="E303" s="91"/>
      <c r="F303" s="91">
        <v>1</v>
      </c>
      <c r="G303" s="91">
        <v>1</v>
      </c>
      <c r="H303" s="296"/>
      <c r="I303" s="296" t="s">
        <v>160</v>
      </c>
      <c r="J303" s="296">
        <v>1984</v>
      </c>
      <c r="K303" s="296"/>
      <c r="L303" s="296"/>
      <c r="M303" s="296"/>
      <c r="N303" s="297"/>
    </row>
    <row r="304" spans="1:14" ht="15" customHeight="1">
      <c r="A304" s="331"/>
      <c r="B304" s="320"/>
      <c r="C304" s="332"/>
      <c r="D304" s="91">
        <v>1</v>
      </c>
      <c r="E304" s="91"/>
      <c r="F304" s="91">
        <v>1</v>
      </c>
      <c r="G304" s="91">
        <v>1</v>
      </c>
      <c r="H304" s="296"/>
      <c r="I304" s="296" t="s">
        <v>160</v>
      </c>
      <c r="J304" s="296">
        <v>1989</v>
      </c>
      <c r="K304" s="296"/>
      <c r="L304" s="296"/>
      <c r="M304" s="296"/>
      <c r="N304" s="297"/>
    </row>
    <row r="305" spans="1:14" ht="15" customHeight="1">
      <c r="A305" s="331"/>
      <c r="B305" s="320"/>
      <c r="C305" s="332"/>
      <c r="D305" s="91">
        <v>1</v>
      </c>
      <c r="E305" s="91"/>
      <c r="F305" s="91">
        <v>1</v>
      </c>
      <c r="G305" s="91"/>
      <c r="H305" s="296">
        <v>1</v>
      </c>
      <c r="I305" s="296" t="s">
        <v>161</v>
      </c>
      <c r="J305" s="296">
        <v>1976</v>
      </c>
      <c r="K305" s="296"/>
      <c r="L305" s="296"/>
      <c r="M305" s="296"/>
      <c r="N305" s="297"/>
    </row>
    <row r="306" spans="1:14" ht="15" customHeight="1">
      <c r="A306" s="331"/>
      <c r="B306" s="320"/>
      <c r="C306" s="332"/>
      <c r="D306" s="91">
        <v>1</v>
      </c>
      <c r="E306" s="91">
        <v>1</v>
      </c>
      <c r="F306" s="91"/>
      <c r="G306" s="91">
        <v>1</v>
      </c>
      <c r="H306" s="296"/>
      <c r="I306" s="296" t="s">
        <v>160</v>
      </c>
      <c r="J306" s="296">
        <v>1963</v>
      </c>
      <c r="K306" s="296"/>
      <c r="L306" s="296"/>
      <c r="M306" s="296"/>
      <c r="N306" s="297"/>
    </row>
    <row r="307" spans="1:14" ht="15" customHeight="1">
      <c r="A307" s="331"/>
      <c r="B307" s="320"/>
      <c r="C307" s="332"/>
      <c r="D307" s="91">
        <v>1</v>
      </c>
      <c r="E307" s="91"/>
      <c r="F307" s="91">
        <v>1</v>
      </c>
      <c r="G307" s="91"/>
      <c r="H307" s="296">
        <v>1</v>
      </c>
      <c r="I307" s="296" t="s">
        <v>170</v>
      </c>
      <c r="J307" s="296">
        <v>1973</v>
      </c>
      <c r="K307" s="296"/>
      <c r="L307" s="296"/>
      <c r="M307" s="296"/>
      <c r="N307" s="297"/>
    </row>
    <row r="308" spans="1:14" ht="15" customHeight="1">
      <c r="A308" s="331"/>
      <c r="B308" s="320"/>
      <c r="C308" s="332"/>
      <c r="D308" s="91">
        <v>1</v>
      </c>
      <c r="E308" s="91"/>
      <c r="F308" s="91">
        <v>1</v>
      </c>
      <c r="G308" s="91"/>
      <c r="H308" s="296">
        <v>1</v>
      </c>
      <c r="I308" s="296" t="s">
        <v>161</v>
      </c>
      <c r="J308" s="296">
        <v>1974</v>
      </c>
      <c r="K308" s="296"/>
      <c r="L308" s="296"/>
      <c r="M308" s="296"/>
      <c r="N308" s="297"/>
    </row>
    <row r="309" spans="1:14" ht="15" customHeight="1">
      <c r="A309" s="331"/>
      <c r="B309" s="320"/>
      <c r="C309" s="332"/>
      <c r="D309" s="91">
        <v>1</v>
      </c>
      <c r="E309" s="91"/>
      <c r="F309" s="91">
        <v>1</v>
      </c>
      <c r="G309" s="91"/>
      <c r="H309" s="296">
        <v>1</v>
      </c>
      <c r="I309" s="296" t="s">
        <v>171</v>
      </c>
      <c r="J309" s="296">
        <v>1976</v>
      </c>
      <c r="K309" s="296"/>
      <c r="L309" s="296"/>
      <c r="M309" s="296"/>
      <c r="N309" s="297"/>
    </row>
    <row r="310" spans="1:14" ht="15" customHeight="1">
      <c r="A310" s="331"/>
      <c r="B310" s="320"/>
      <c r="C310" s="332"/>
      <c r="D310" s="91">
        <v>1</v>
      </c>
      <c r="E310" s="91"/>
      <c r="F310" s="91">
        <v>1</v>
      </c>
      <c r="G310" s="91"/>
      <c r="H310" s="296">
        <v>1</v>
      </c>
      <c r="I310" s="296" t="s">
        <v>167</v>
      </c>
      <c r="J310" s="296">
        <v>1980</v>
      </c>
      <c r="K310" s="296"/>
      <c r="L310" s="296"/>
      <c r="M310" s="296"/>
      <c r="N310" s="297"/>
    </row>
    <row r="311" spans="1:14" ht="15" customHeight="1">
      <c r="A311" s="331"/>
      <c r="B311" s="320"/>
      <c r="C311" s="332"/>
      <c r="D311" s="91">
        <v>1</v>
      </c>
      <c r="E311" s="91"/>
      <c r="F311" s="91">
        <v>1</v>
      </c>
      <c r="G311" s="91"/>
      <c r="H311" s="296">
        <v>1</v>
      </c>
      <c r="I311" s="296" t="s">
        <v>168</v>
      </c>
      <c r="J311" s="296">
        <v>1972</v>
      </c>
      <c r="K311" s="296"/>
      <c r="L311" s="296"/>
      <c r="M311" s="296"/>
      <c r="N311" s="297"/>
    </row>
    <row r="312" spans="1:14" ht="15" customHeight="1">
      <c r="A312" s="331"/>
      <c r="B312" s="320"/>
      <c r="C312" s="332"/>
      <c r="D312" s="91">
        <v>1</v>
      </c>
      <c r="E312" s="91">
        <v>1</v>
      </c>
      <c r="F312" s="91"/>
      <c r="G312" s="91"/>
      <c r="H312" s="296">
        <v>1</v>
      </c>
      <c r="I312" s="296" t="s">
        <v>168</v>
      </c>
      <c r="J312" s="296">
        <v>1971</v>
      </c>
      <c r="K312" s="296"/>
      <c r="L312" s="296"/>
      <c r="M312" s="296"/>
      <c r="N312" s="297"/>
    </row>
    <row r="313" spans="1:14" ht="15" customHeight="1">
      <c r="A313" s="331"/>
      <c r="B313" s="320"/>
      <c r="C313" s="332"/>
      <c r="D313" s="91">
        <v>1</v>
      </c>
      <c r="E313" s="91"/>
      <c r="F313" s="91">
        <v>1</v>
      </c>
      <c r="G313" s="91"/>
      <c r="H313" s="296">
        <v>1</v>
      </c>
      <c r="I313" s="296" t="s">
        <v>4</v>
      </c>
      <c r="J313" s="296">
        <v>1963</v>
      </c>
      <c r="K313" s="296"/>
      <c r="L313" s="296"/>
      <c r="M313" s="296"/>
      <c r="N313" s="297"/>
    </row>
    <row r="314" spans="1:14" ht="15" customHeight="1">
      <c r="A314" s="331"/>
      <c r="B314" s="320"/>
      <c r="C314" s="332"/>
      <c r="D314" s="91">
        <v>1</v>
      </c>
      <c r="E314" s="91"/>
      <c r="F314" s="91">
        <v>1</v>
      </c>
      <c r="G314" s="91">
        <v>1</v>
      </c>
      <c r="H314" s="296"/>
      <c r="I314" s="296" t="s">
        <v>160</v>
      </c>
      <c r="J314" s="296">
        <v>1964</v>
      </c>
      <c r="K314" s="296"/>
      <c r="L314" s="296"/>
      <c r="M314" s="296"/>
      <c r="N314" s="297"/>
    </row>
    <row r="315" spans="1:14" ht="15" customHeight="1">
      <c r="A315" s="331"/>
      <c r="B315" s="320"/>
      <c r="C315" s="332"/>
      <c r="D315" s="91">
        <v>1</v>
      </c>
      <c r="E315" s="91"/>
      <c r="F315" s="91">
        <v>1</v>
      </c>
      <c r="G315" s="91">
        <v>1</v>
      </c>
      <c r="H315" s="296"/>
      <c r="I315" s="296" t="s">
        <v>160</v>
      </c>
      <c r="J315" s="296">
        <v>1985</v>
      </c>
      <c r="K315" s="296"/>
      <c r="L315" s="296"/>
      <c r="M315" s="296"/>
      <c r="N315" s="297"/>
    </row>
    <row r="316" spans="1:14" ht="15" customHeight="1">
      <c r="A316" s="331"/>
      <c r="B316" s="320"/>
      <c r="C316" s="332"/>
      <c r="D316" s="91">
        <v>1</v>
      </c>
      <c r="E316" s="91"/>
      <c r="F316" s="91">
        <v>1</v>
      </c>
      <c r="G316" s="91"/>
      <c r="H316" s="296">
        <v>1</v>
      </c>
      <c r="I316" s="296" t="s">
        <v>43</v>
      </c>
      <c r="J316" s="296">
        <v>1986</v>
      </c>
      <c r="K316" s="296"/>
      <c r="L316" s="296"/>
      <c r="M316" s="296"/>
      <c r="N316" s="297"/>
    </row>
    <row r="317" spans="1:14" ht="15" customHeight="1">
      <c r="A317" s="335" t="s">
        <v>98</v>
      </c>
      <c r="B317" s="335"/>
      <c r="C317" s="22"/>
      <c r="D317" s="22">
        <f>SUM(D298:D316)</f>
        <v>19</v>
      </c>
      <c r="E317" s="22">
        <f>SUM(E298:E316)</f>
        <v>3</v>
      </c>
      <c r="F317" s="22">
        <f>SUM(F298:F316)</f>
        <v>16</v>
      </c>
      <c r="G317" s="22">
        <f>SUM(G298:G316)</f>
        <v>6</v>
      </c>
      <c r="H317" s="22">
        <f>SUM(H298:H316)</f>
        <v>13</v>
      </c>
      <c r="I317" s="36"/>
      <c r="J317" s="22"/>
      <c r="K317" s="22"/>
      <c r="L317" s="22"/>
      <c r="M317" s="22"/>
      <c r="N317" s="22"/>
    </row>
    <row r="318" spans="1:14" ht="15" customHeight="1">
      <c r="A318" s="336" t="s">
        <v>112</v>
      </c>
      <c r="B318" s="336"/>
      <c r="C318" s="22"/>
      <c r="D318" s="22">
        <v>44</v>
      </c>
      <c r="E318" s="22">
        <v>4</v>
      </c>
      <c r="F318" s="22">
        <v>40</v>
      </c>
      <c r="G318" s="22">
        <v>7</v>
      </c>
      <c r="H318" s="22">
        <v>37</v>
      </c>
      <c r="I318" s="36"/>
      <c r="J318" s="22"/>
      <c r="K318" s="22"/>
      <c r="L318" s="22"/>
      <c r="M318" s="22"/>
      <c r="N318" s="298">
        <f>SUM(N268:N317)</f>
        <v>6830</v>
      </c>
    </row>
    <row r="319" spans="1:14" ht="29.25" customHeight="1">
      <c r="A319" s="337"/>
      <c r="B319" s="337"/>
      <c r="C319" s="337"/>
      <c r="D319" s="337"/>
      <c r="E319" s="337"/>
      <c r="F319" s="337"/>
      <c r="G319" s="337"/>
      <c r="H319" s="337"/>
      <c r="I319" s="337"/>
      <c r="J319" s="337"/>
      <c r="K319" s="337"/>
      <c r="L319" s="337"/>
      <c r="M319" s="337"/>
      <c r="N319" s="338"/>
    </row>
    <row r="320" spans="1:14" ht="30" customHeight="1">
      <c r="A320" s="339" t="s">
        <v>114</v>
      </c>
      <c r="B320" s="339"/>
      <c r="C320" s="339"/>
      <c r="D320" s="339"/>
      <c r="E320" s="339"/>
      <c r="F320" s="339"/>
      <c r="G320" s="339"/>
      <c r="H320" s="339"/>
      <c r="I320" s="339"/>
      <c r="J320" s="339"/>
      <c r="K320" s="339"/>
      <c r="L320" s="339"/>
      <c r="M320" s="339"/>
      <c r="N320" s="76"/>
    </row>
    <row r="321" spans="1:14" ht="30">
      <c r="A321" s="7" t="s">
        <v>20</v>
      </c>
      <c r="B321" s="7" t="s">
        <v>1</v>
      </c>
      <c r="C321" s="7" t="s">
        <v>3</v>
      </c>
      <c r="D321" s="6" t="s">
        <v>120</v>
      </c>
      <c r="E321" s="7" t="s">
        <v>90</v>
      </c>
      <c r="F321" s="7" t="s">
        <v>91</v>
      </c>
      <c r="G321" s="7" t="s">
        <v>140</v>
      </c>
      <c r="H321" s="7" t="s">
        <v>127</v>
      </c>
      <c r="I321" s="7" t="s">
        <v>159</v>
      </c>
      <c r="J321" s="7" t="s">
        <v>119</v>
      </c>
      <c r="K321" s="7"/>
      <c r="L321" s="7" t="s">
        <v>172</v>
      </c>
      <c r="M321" s="33" t="s">
        <v>133</v>
      </c>
      <c r="N321" s="62"/>
    </row>
    <row r="322" spans="1:14" ht="15" customHeight="1">
      <c r="A322" s="333"/>
      <c r="B322" s="333"/>
      <c r="C322" s="332"/>
      <c r="D322" s="299">
        <v>1</v>
      </c>
      <c r="E322" s="299"/>
      <c r="F322" s="299">
        <v>1</v>
      </c>
      <c r="G322" s="299"/>
      <c r="H322" s="299">
        <v>1</v>
      </c>
      <c r="I322" s="300" t="s">
        <v>167</v>
      </c>
      <c r="J322" s="301">
        <v>1966</v>
      </c>
      <c r="K322" s="301"/>
      <c r="L322" s="301">
        <v>1</v>
      </c>
      <c r="M322" s="301"/>
      <c r="N322" s="35"/>
    </row>
    <row r="323" spans="1:14" ht="15" customHeight="1">
      <c r="A323" s="331"/>
      <c r="B323" s="320"/>
      <c r="C323" s="332"/>
      <c r="D323" s="91">
        <v>1</v>
      </c>
      <c r="E323" s="91"/>
      <c r="F323" s="91">
        <v>1</v>
      </c>
      <c r="G323" s="91"/>
      <c r="H323" s="296">
        <v>1</v>
      </c>
      <c r="I323" s="296" t="s">
        <v>10</v>
      </c>
      <c r="J323" s="296">
        <v>1990</v>
      </c>
      <c r="K323" s="296"/>
      <c r="L323" s="301">
        <v>1</v>
      </c>
      <c r="M323" s="301"/>
      <c r="N323" s="35"/>
    </row>
    <row r="324" spans="1:14" ht="15" customHeight="1">
      <c r="A324" s="333"/>
      <c r="B324" s="333"/>
      <c r="C324" s="332"/>
      <c r="D324" s="299">
        <v>1</v>
      </c>
      <c r="E324" s="299"/>
      <c r="F324" s="299">
        <v>1</v>
      </c>
      <c r="G324" s="299"/>
      <c r="H324" s="299">
        <v>1</v>
      </c>
      <c r="I324" s="300" t="s">
        <v>167</v>
      </c>
      <c r="J324" s="301">
        <v>1967</v>
      </c>
      <c r="K324" s="301"/>
      <c r="L324" s="301">
        <v>1</v>
      </c>
      <c r="M324" s="301"/>
      <c r="N324" s="35"/>
    </row>
    <row r="325" spans="1:14" ht="15" customHeight="1">
      <c r="A325" s="320"/>
      <c r="B325" s="320"/>
      <c r="C325" s="330"/>
      <c r="D325" s="91">
        <v>1</v>
      </c>
      <c r="E325" s="91"/>
      <c r="F325" s="91">
        <v>1</v>
      </c>
      <c r="G325" s="91"/>
      <c r="H325" s="294">
        <v>1</v>
      </c>
      <c r="I325" s="294" t="s">
        <v>167</v>
      </c>
      <c r="J325" s="295">
        <v>1967</v>
      </c>
      <c r="K325" s="295"/>
      <c r="L325" s="301">
        <v>1</v>
      </c>
      <c r="M325" s="301"/>
      <c r="N325" s="8"/>
    </row>
    <row r="326" spans="1:14" ht="15" customHeight="1">
      <c r="A326" s="333"/>
      <c r="B326" s="333"/>
      <c r="C326" s="332"/>
      <c r="D326" s="299">
        <v>1</v>
      </c>
      <c r="E326" s="299"/>
      <c r="F326" s="299">
        <v>1</v>
      </c>
      <c r="G326" s="299"/>
      <c r="H326" s="299">
        <v>1</v>
      </c>
      <c r="I326" s="300" t="s">
        <v>166</v>
      </c>
      <c r="J326" s="301">
        <v>1978</v>
      </c>
      <c r="K326" s="301"/>
      <c r="L326" s="301">
        <v>1</v>
      </c>
      <c r="M326" s="301"/>
      <c r="N326" s="35"/>
    </row>
    <row r="327" spans="1:14" ht="15" customHeight="1">
      <c r="A327" s="333"/>
      <c r="B327" s="333"/>
      <c r="C327" s="332"/>
      <c r="D327" s="299">
        <v>1</v>
      </c>
      <c r="E327" s="299"/>
      <c r="F327" s="299">
        <v>1</v>
      </c>
      <c r="G327" s="299"/>
      <c r="H327" s="299">
        <v>1</v>
      </c>
      <c r="I327" s="300" t="s">
        <v>167</v>
      </c>
      <c r="J327" s="301">
        <v>1970</v>
      </c>
      <c r="K327" s="301"/>
      <c r="L327" s="301">
        <v>1</v>
      </c>
      <c r="M327" s="301"/>
      <c r="N327" s="8"/>
    </row>
    <row r="328" spans="1:14" ht="15" customHeight="1">
      <c r="A328" s="331"/>
      <c r="B328" s="320"/>
      <c r="C328" s="332"/>
      <c r="D328" s="91">
        <v>1</v>
      </c>
      <c r="E328" s="91"/>
      <c r="F328" s="91">
        <v>1</v>
      </c>
      <c r="G328" s="91"/>
      <c r="H328" s="296">
        <v>1</v>
      </c>
      <c r="I328" s="296" t="s">
        <v>161</v>
      </c>
      <c r="J328" s="296">
        <v>1977</v>
      </c>
      <c r="K328" s="296"/>
      <c r="L328" s="301">
        <v>1</v>
      </c>
      <c r="M328" s="301"/>
      <c r="N328" s="35"/>
    </row>
    <row r="329" spans="1:14" ht="15" customHeight="1">
      <c r="A329" s="334"/>
      <c r="B329" s="320"/>
      <c r="C329" s="330"/>
      <c r="D329" s="91">
        <v>1</v>
      </c>
      <c r="E329" s="91"/>
      <c r="F329" s="91">
        <v>1</v>
      </c>
      <c r="G329" s="91"/>
      <c r="H329" s="294">
        <v>1</v>
      </c>
      <c r="I329" s="296" t="s">
        <v>37</v>
      </c>
      <c r="J329" s="295">
        <v>1974</v>
      </c>
      <c r="K329" s="295"/>
      <c r="L329" s="301">
        <v>1</v>
      </c>
      <c r="M329" s="301"/>
      <c r="N329" s="8"/>
    </row>
    <row r="330" spans="1:14" ht="15" customHeight="1">
      <c r="A330" s="333"/>
      <c r="B330" s="333"/>
      <c r="C330" s="332"/>
      <c r="D330" s="299">
        <v>1</v>
      </c>
      <c r="E330" s="299"/>
      <c r="F330" s="299">
        <v>1</v>
      </c>
      <c r="G330" s="299"/>
      <c r="H330" s="299">
        <v>1</v>
      </c>
      <c r="I330" s="300" t="s">
        <v>165</v>
      </c>
      <c r="J330" s="301">
        <v>1950</v>
      </c>
      <c r="K330" s="301"/>
      <c r="L330" s="301">
        <v>1</v>
      </c>
      <c r="M330" s="301"/>
      <c r="N330" s="8"/>
    </row>
    <row r="331" spans="1:14" ht="15" customHeight="1">
      <c r="A331" s="333"/>
      <c r="B331" s="333"/>
      <c r="C331" s="332"/>
      <c r="D331" s="299">
        <v>1</v>
      </c>
      <c r="E331" s="299">
        <v>1</v>
      </c>
      <c r="F331" s="299"/>
      <c r="G331" s="299">
        <v>1</v>
      </c>
      <c r="H331" s="299"/>
      <c r="I331" s="300" t="s">
        <v>160</v>
      </c>
      <c r="J331" s="301">
        <v>1967</v>
      </c>
      <c r="K331" s="301"/>
      <c r="L331" s="301">
        <v>1</v>
      </c>
      <c r="M331" s="301"/>
      <c r="N331" s="8"/>
    </row>
    <row r="332" spans="1:14" ht="15" customHeight="1">
      <c r="A332" s="333"/>
      <c r="B332" s="333"/>
      <c r="C332" s="332"/>
      <c r="D332" s="299">
        <v>1</v>
      </c>
      <c r="E332" s="299"/>
      <c r="F332" s="299">
        <v>1</v>
      </c>
      <c r="G332" s="299"/>
      <c r="H332" s="299">
        <v>1</v>
      </c>
      <c r="I332" s="300" t="s">
        <v>167</v>
      </c>
      <c r="J332" s="301">
        <v>1964</v>
      </c>
      <c r="K332" s="301"/>
      <c r="L332" s="301">
        <v>1</v>
      </c>
      <c r="M332" s="301"/>
      <c r="N332" s="8"/>
    </row>
    <row r="333" spans="1:14" ht="15" customHeight="1">
      <c r="A333" s="333"/>
      <c r="B333" s="333"/>
      <c r="C333" s="332"/>
      <c r="D333" s="299">
        <v>1</v>
      </c>
      <c r="E333" s="299"/>
      <c r="F333" s="299">
        <v>1</v>
      </c>
      <c r="G333" s="299"/>
      <c r="H333" s="299">
        <v>1</v>
      </c>
      <c r="I333" s="300" t="s">
        <v>11</v>
      </c>
      <c r="J333" s="299">
        <v>1972</v>
      </c>
      <c r="K333" s="299"/>
      <c r="L333" s="301">
        <v>1</v>
      </c>
      <c r="M333" s="299"/>
      <c r="N333" s="8"/>
    </row>
    <row r="334" spans="1:14" ht="15" customHeight="1">
      <c r="A334" s="334"/>
      <c r="B334" s="320"/>
      <c r="C334" s="332"/>
      <c r="D334" s="91">
        <v>1</v>
      </c>
      <c r="E334" s="91"/>
      <c r="F334" s="91">
        <v>1</v>
      </c>
      <c r="G334" s="91">
        <v>1</v>
      </c>
      <c r="H334" s="296"/>
      <c r="I334" s="296" t="s">
        <v>160</v>
      </c>
      <c r="J334" s="296">
        <v>1957</v>
      </c>
      <c r="K334" s="296"/>
      <c r="L334" s="301">
        <v>1</v>
      </c>
      <c r="M334" s="301"/>
      <c r="N334" s="8"/>
    </row>
    <row r="335" spans="1:14" ht="15" customHeight="1">
      <c r="A335" s="333"/>
      <c r="B335" s="333"/>
      <c r="C335" s="332"/>
      <c r="D335" s="299">
        <v>1</v>
      </c>
      <c r="E335" s="299"/>
      <c r="F335" s="299">
        <v>1</v>
      </c>
      <c r="G335" s="299"/>
      <c r="H335" s="299">
        <v>1</v>
      </c>
      <c r="I335" s="300" t="s">
        <v>162</v>
      </c>
      <c r="J335" s="301">
        <v>1966</v>
      </c>
      <c r="K335" s="301"/>
      <c r="L335" s="301">
        <v>1</v>
      </c>
      <c r="M335" s="301"/>
      <c r="N335" s="8"/>
    </row>
    <row r="336" spans="1:14" ht="15" customHeight="1">
      <c r="A336" s="334"/>
      <c r="B336" s="320"/>
      <c r="C336" s="332"/>
      <c r="D336" s="91">
        <v>1</v>
      </c>
      <c r="E336" s="91"/>
      <c r="F336" s="91">
        <v>1</v>
      </c>
      <c r="G336" s="91"/>
      <c r="H336" s="296">
        <v>1</v>
      </c>
      <c r="I336" s="296" t="s">
        <v>161</v>
      </c>
      <c r="J336" s="296">
        <v>1966</v>
      </c>
      <c r="K336" s="296"/>
      <c r="L336" s="301">
        <v>1</v>
      </c>
      <c r="M336" s="301"/>
      <c r="N336" s="8"/>
    </row>
    <row r="337" spans="1:14" ht="15" customHeight="1">
      <c r="A337" s="320"/>
      <c r="B337" s="320"/>
      <c r="C337" s="330"/>
      <c r="D337" s="301">
        <v>1</v>
      </c>
      <c r="E337" s="301"/>
      <c r="F337" s="301">
        <v>1</v>
      </c>
      <c r="G337" s="301">
        <v>1</v>
      </c>
      <c r="H337" s="301"/>
      <c r="I337" s="300" t="s">
        <v>160</v>
      </c>
      <c r="J337" s="301">
        <v>1958</v>
      </c>
      <c r="K337" s="301"/>
      <c r="L337" s="301">
        <v>1</v>
      </c>
      <c r="M337" s="301"/>
      <c r="N337" s="8"/>
    </row>
    <row r="338" spans="1:14" ht="15" customHeight="1">
      <c r="A338" s="333"/>
      <c r="B338" s="333"/>
      <c r="C338" s="332"/>
      <c r="D338" s="299">
        <v>1</v>
      </c>
      <c r="E338" s="299"/>
      <c r="F338" s="299">
        <v>1</v>
      </c>
      <c r="G338" s="299"/>
      <c r="H338" s="299">
        <v>1</v>
      </c>
      <c r="I338" s="300" t="s">
        <v>162</v>
      </c>
      <c r="J338" s="301">
        <v>1959</v>
      </c>
      <c r="K338" s="301"/>
      <c r="L338" s="301">
        <v>1</v>
      </c>
      <c r="M338" s="301"/>
      <c r="N338" s="8"/>
    </row>
    <row r="339" spans="1:14" ht="15" customHeight="1">
      <c r="A339" s="333"/>
      <c r="B339" s="333"/>
      <c r="C339" s="332"/>
      <c r="D339" s="299">
        <v>1</v>
      </c>
      <c r="E339" s="299"/>
      <c r="F339" s="299">
        <v>1</v>
      </c>
      <c r="G339" s="299"/>
      <c r="H339" s="299">
        <v>1</v>
      </c>
      <c r="I339" s="300" t="s">
        <v>167</v>
      </c>
      <c r="J339" s="301">
        <v>1977</v>
      </c>
      <c r="K339" s="301"/>
      <c r="L339" s="301">
        <v>1</v>
      </c>
      <c r="M339" s="301"/>
      <c r="N339" s="8"/>
    </row>
    <row r="340" spans="1:14" ht="15" customHeight="1">
      <c r="A340" s="331"/>
      <c r="B340" s="320"/>
      <c r="C340" s="332"/>
      <c r="D340" s="91">
        <v>1</v>
      </c>
      <c r="E340" s="91">
        <v>1</v>
      </c>
      <c r="F340" s="91"/>
      <c r="G340" s="91"/>
      <c r="H340" s="296">
        <v>1</v>
      </c>
      <c r="I340" s="296" t="s">
        <v>161</v>
      </c>
      <c r="J340" s="296">
        <v>1990</v>
      </c>
      <c r="K340" s="296"/>
      <c r="L340" s="301">
        <v>1</v>
      </c>
      <c r="M340" s="301"/>
      <c r="N340" s="8"/>
    </row>
    <row r="341" spans="1:14" ht="15" customHeight="1">
      <c r="A341" s="333"/>
      <c r="B341" s="333"/>
      <c r="C341" s="332"/>
      <c r="D341" s="299">
        <v>1</v>
      </c>
      <c r="E341" s="299"/>
      <c r="F341" s="299">
        <v>1</v>
      </c>
      <c r="G341" s="299"/>
      <c r="H341" s="299">
        <v>1</v>
      </c>
      <c r="I341" s="300" t="s">
        <v>10</v>
      </c>
      <c r="J341" s="301">
        <v>1962</v>
      </c>
      <c r="K341" s="301"/>
      <c r="L341" s="301">
        <v>1</v>
      </c>
      <c r="M341" s="301"/>
      <c r="N341" s="8"/>
    </row>
    <row r="342" spans="1:14" ht="15" customHeight="1">
      <c r="A342" s="333"/>
      <c r="B342" s="333"/>
      <c r="C342" s="332"/>
      <c r="D342" s="299">
        <v>1</v>
      </c>
      <c r="E342" s="299"/>
      <c r="F342" s="299">
        <v>1</v>
      </c>
      <c r="G342" s="299"/>
      <c r="H342" s="299">
        <v>1</v>
      </c>
      <c r="I342" s="300" t="s">
        <v>161</v>
      </c>
      <c r="J342" s="301">
        <v>1980</v>
      </c>
      <c r="K342" s="301"/>
      <c r="L342" s="301">
        <v>1</v>
      </c>
      <c r="M342" s="301"/>
      <c r="N342" s="8"/>
    </row>
    <row r="343" spans="1:14" ht="15" customHeight="1">
      <c r="A343" s="334"/>
      <c r="B343" s="320"/>
      <c r="C343" s="332"/>
      <c r="D343" s="91">
        <v>1</v>
      </c>
      <c r="E343" s="91"/>
      <c r="F343" s="91">
        <v>1</v>
      </c>
      <c r="G343" s="91"/>
      <c r="H343" s="296">
        <v>1</v>
      </c>
      <c r="I343" s="295" t="s">
        <v>161</v>
      </c>
      <c r="J343" s="296">
        <v>1981</v>
      </c>
      <c r="K343" s="296"/>
      <c r="L343" s="301">
        <v>1</v>
      </c>
      <c r="M343" s="301"/>
      <c r="N343" s="8"/>
    </row>
    <row r="344" spans="1:14" ht="15" customHeight="1">
      <c r="A344" s="333"/>
      <c r="B344" s="333"/>
      <c r="C344" s="332"/>
      <c r="D344" s="299">
        <v>1</v>
      </c>
      <c r="E344" s="299"/>
      <c r="F344" s="299">
        <v>1</v>
      </c>
      <c r="G344" s="299"/>
      <c r="H344" s="299">
        <v>1</v>
      </c>
      <c r="I344" s="300" t="s">
        <v>167</v>
      </c>
      <c r="J344" s="301">
        <v>1957</v>
      </c>
      <c r="K344" s="301"/>
      <c r="L344" s="301">
        <v>1</v>
      </c>
      <c r="M344" s="301"/>
      <c r="N344" s="8"/>
    </row>
    <row r="345" spans="1:14" ht="15" customHeight="1">
      <c r="A345" s="333"/>
      <c r="B345" s="333"/>
      <c r="C345" s="332"/>
      <c r="D345" s="299">
        <v>1</v>
      </c>
      <c r="E345" s="299"/>
      <c r="F345" s="299">
        <v>1</v>
      </c>
      <c r="G345" s="299"/>
      <c r="H345" s="299">
        <v>1</v>
      </c>
      <c r="I345" s="300" t="s">
        <v>167</v>
      </c>
      <c r="J345" s="301">
        <v>1963</v>
      </c>
      <c r="K345" s="301"/>
      <c r="L345" s="301">
        <v>1</v>
      </c>
      <c r="M345" s="301"/>
      <c r="N345" s="8"/>
    </row>
    <row r="346" spans="1:14" ht="15" customHeight="1">
      <c r="A346" s="331"/>
      <c r="B346" s="320"/>
      <c r="C346" s="332"/>
      <c r="D346" s="91">
        <v>1</v>
      </c>
      <c r="E346" s="91"/>
      <c r="F346" s="91">
        <v>1</v>
      </c>
      <c r="G346" s="91">
        <v>1</v>
      </c>
      <c r="H346" s="296"/>
      <c r="I346" s="296" t="s">
        <v>160</v>
      </c>
      <c r="J346" s="296">
        <v>1958</v>
      </c>
      <c r="K346" s="296"/>
      <c r="L346" s="301">
        <v>1</v>
      </c>
      <c r="M346" s="301"/>
      <c r="N346" s="8"/>
    </row>
    <row r="347" spans="1:14" ht="15" customHeight="1">
      <c r="A347" s="333"/>
      <c r="B347" s="333"/>
      <c r="C347" s="332"/>
      <c r="D347" s="299">
        <v>1</v>
      </c>
      <c r="E347" s="299"/>
      <c r="F347" s="299">
        <v>1</v>
      </c>
      <c r="G347" s="299"/>
      <c r="H347" s="299">
        <v>1</v>
      </c>
      <c r="I347" s="300" t="s">
        <v>162</v>
      </c>
      <c r="J347" s="301">
        <v>1951</v>
      </c>
      <c r="K347" s="301"/>
      <c r="L347" s="301">
        <v>1</v>
      </c>
      <c r="M347" s="301"/>
      <c r="N347" s="8"/>
    </row>
    <row r="348" spans="1:14" ht="15" customHeight="1">
      <c r="A348" s="334"/>
      <c r="B348" s="320"/>
      <c r="C348" s="332"/>
      <c r="D348" s="91">
        <v>1</v>
      </c>
      <c r="E348" s="91"/>
      <c r="F348" s="91">
        <v>1</v>
      </c>
      <c r="G348" s="91"/>
      <c r="H348" s="296">
        <v>1</v>
      </c>
      <c r="I348" s="296" t="s">
        <v>162</v>
      </c>
      <c r="J348" s="296">
        <v>1966</v>
      </c>
      <c r="K348" s="296"/>
      <c r="L348" s="301">
        <v>1</v>
      </c>
      <c r="M348" s="301"/>
      <c r="N348" s="8"/>
    </row>
    <row r="349" spans="1:14" ht="15" customHeight="1">
      <c r="A349" s="334"/>
      <c r="B349" s="320"/>
      <c r="C349" s="332"/>
      <c r="D349" s="91">
        <v>1</v>
      </c>
      <c r="E349" s="91"/>
      <c r="F349" s="91">
        <v>1</v>
      </c>
      <c r="G349" s="91"/>
      <c r="H349" s="296">
        <v>1</v>
      </c>
      <c r="I349" s="296" t="s">
        <v>163</v>
      </c>
      <c r="J349" s="296">
        <v>1971</v>
      </c>
      <c r="K349" s="296"/>
      <c r="L349" s="301">
        <v>1</v>
      </c>
      <c r="M349" s="301"/>
      <c r="N349" s="8"/>
    </row>
    <row r="350" spans="1:14" ht="15" customHeight="1">
      <c r="A350" s="331"/>
      <c r="B350" s="320"/>
      <c r="C350" s="332"/>
      <c r="D350" s="91">
        <v>1</v>
      </c>
      <c r="E350" s="91"/>
      <c r="F350" s="91">
        <v>1</v>
      </c>
      <c r="G350" s="91">
        <v>1</v>
      </c>
      <c r="H350" s="296"/>
      <c r="I350" s="296" t="s">
        <v>160</v>
      </c>
      <c r="J350" s="296">
        <v>1984</v>
      </c>
      <c r="K350" s="296"/>
      <c r="L350" s="301">
        <v>1</v>
      </c>
      <c r="M350" s="301"/>
      <c r="N350" s="8"/>
    </row>
    <row r="351" spans="1:14" ht="15" customHeight="1">
      <c r="A351" s="333"/>
      <c r="B351" s="333"/>
      <c r="C351" s="332"/>
      <c r="D351" s="299">
        <v>1</v>
      </c>
      <c r="E351" s="299"/>
      <c r="F351" s="299">
        <v>1</v>
      </c>
      <c r="G351" s="299"/>
      <c r="H351" s="299">
        <v>1</v>
      </c>
      <c r="I351" s="300" t="s">
        <v>167</v>
      </c>
      <c r="J351" s="301">
        <v>1983</v>
      </c>
      <c r="K351" s="301"/>
      <c r="L351" s="301">
        <v>1</v>
      </c>
      <c r="M351" s="301"/>
      <c r="N351" s="8"/>
    </row>
    <row r="352" spans="1:14" ht="15" customHeight="1">
      <c r="A352" s="333"/>
      <c r="B352" s="333"/>
      <c r="C352" s="332"/>
      <c r="D352" s="299">
        <v>1</v>
      </c>
      <c r="E352" s="299"/>
      <c r="F352" s="299">
        <v>1</v>
      </c>
      <c r="G352" s="299"/>
      <c r="H352" s="299">
        <v>1</v>
      </c>
      <c r="I352" s="300" t="s">
        <v>167</v>
      </c>
      <c r="J352" s="301">
        <v>1959</v>
      </c>
      <c r="K352" s="301"/>
      <c r="L352" s="301">
        <v>1</v>
      </c>
      <c r="M352" s="301"/>
      <c r="N352" s="8"/>
    </row>
    <row r="353" spans="1:14" ht="15" customHeight="1">
      <c r="A353" s="333"/>
      <c r="B353" s="333"/>
      <c r="C353" s="332"/>
      <c r="D353" s="299">
        <v>1</v>
      </c>
      <c r="E353" s="299"/>
      <c r="F353" s="299">
        <v>1</v>
      </c>
      <c r="G353" s="299"/>
      <c r="H353" s="299">
        <v>1</v>
      </c>
      <c r="I353" s="300" t="s">
        <v>167</v>
      </c>
      <c r="J353" s="301">
        <v>1966</v>
      </c>
      <c r="K353" s="301"/>
      <c r="L353" s="301">
        <v>1</v>
      </c>
      <c r="M353" s="301"/>
      <c r="N353" s="8"/>
    </row>
    <row r="354" spans="1:14" ht="15" customHeight="1">
      <c r="A354" s="331"/>
      <c r="B354" s="320"/>
      <c r="C354" s="332"/>
      <c r="D354" s="91">
        <v>1</v>
      </c>
      <c r="E354" s="91"/>
      <c r="F354" s="91">
        <v>1</v>
      </c>
      <c r="G354" s="91">
        <v>1</v>
      </c>
      <c r="H354" s="296"/>
      <c r="I354" s="296" t="s">
        <v>160</v>
      </c>
      <c r="J354" s="296">
        <v>1989</v>
      </c>
      <c r="K354" s="296"/>
      <c r="L354" s="301">
        <v>1</v>
      </c>
      <c r="M354" s="301"/>
      <c r="N354" s="8"/>
    </row>
    <row r="355" spans="1:14" ht="15" customHeight="1">
      <c r="A355" s="334"/>
      <c r="B355" s="320"/>
      <c r="C355" s="332"/>
      <c r="D355" s="91">
        <v>1</v>
      </c>
      <c r="E355" s="91"/>
      <c r="F355" s="91">
        <v>1</v>
      </c>
      <c r="G355" s="91"/>
      <c r="H355" s="296">
        <v>1</v>
      </c>
      <c r="I355" s="296" t="s">
        <v>162</v>
      </c>
      <c r="J355" s="296">
        <v>1954</v>
      </c>
      <c r="K355" s="296"/>
      <c r="L355" s="301">
        <v>1</v>
      </c>
      <c r="M355" s="301"/>
      <c r="N355" s="8"/>
    </row>
    <row r="356" spans="1:14" ht="15" customHeight="1">
      <c r="A356" s="333"/>
      <c r="B356" s="333"/>
      <c r="C356" s="332"/>
      <c r="D356" s="299">
        <v>1</v>
      </c>
      <c r="E356" s="299"/>
      <c r="F356" s="299">
        <v>1</v>
      </c>
      <c r="G356" s="299"/>
      <c r="H356" s="299">
        <v>1</v>
      </c>
      <c r="I356" s="300" t="s">
        <v>167</v>
      </c>
      <c r="J356" s="301">
        <v>1972</v>
      </c>
      <c r="K356" s="301"/>
      <c r="L356" s="301">
        <v>1</v>
      </c>
      <c r="M356" s="301"/>
      <c r="N356" s="8"/>
    </row>
    <row r="357" spans="1:14" ht="15" customHeight="1">
      <c r="A357" s="334"/>
      <c r="B357" s="320"/>
      <c r="C357" s="332"/>
      <c r="D357" s="91">
        <v>1</v>
      </c>
      <c r="E357" s="91"/>
      <c r="F357" s="91">
        <v>1</v>
      </c>
      <c r="G357" s="91"/>
      <c r="H357" s="296">
        <v>1</v>
      </c>
      <c r="I357" s="296" t="s">
        <v>161</v>
      </c>
      <c r="J357" s="296">
        <v>1967</v>
      </c>
      <c r="K357" s="296"/>
      <c r="L357" s="301">
        <v>1</v>
      </c>
      <c r="M357" s="301"/>
      <c r="N357" s="8"/>
    </row>
    <row r="358" spans="1:14" ht="15" customHeight="1">
      <c r="A358" s="333"/>
      <c r="B358" s="333"/>
      <c r="C358" s="332"/>
      <c r="D358" s="299">
        <v>1</v>
      </c>
      <c r="E358" s="299"/>
      <c r="F358" s="299">
        <v>1</v>
      </c>
      <c r="G358" s="299"/>
      <c r="H358" s="299">
        <v>1</v>
      </c>
      <c r="I358" s="300" t="s">
        <v>161</v>
      </c>
      <c r="J358" s="301">
        <v>1971</v>
      </c>
      <c r="K358" s="301"/>
      <c r="L358" s="301">
        <v>1</v>
      </c>
      <c r="M358" s="301"/>
      <c r="N358" s="8"/>
    </row>
    <row r="359" spans="1:14" ht="15" customHeight="1">
      <c r="A359" s="331"/>
      <c r="B359" s="320"/>
      <c r="C359" s="332"/>
      <c r="D359" s="91">
        <v>1</v>
      </c>
      <c r="E359" s="91"/>
      <c r="F359" s="91">
        <v>1</v>
      </c>
      <c r="G359" s="91"/>
      <c r="H359" s="296">
        <v>1</v>
      </c>
      <c r="I359" s="296" t="s">
        <v>161</v>
      </c>
      <c r="J359" s="296">
        <v>1976</v>
      </c>
      <c r="K359" s="296"/>
      <c r="L359" s="301">
        <v>1</v>
      </c>
      <c r="M359" s="301"/>
      <c r="N359" s="8"/>
    </row>
    <row r="360" spans="1:14" ht="15" customHeight="1">
      <c r="A360" s="334"/>
      <c r="B360" s="320"/>
      <c r="C360" s="332"/>
      <c r="D360" s="91">
        <v>1</v>
      </c>
      <c r="E360" s="91"/>
      <c r="F360" s="91">
        <v>1</v>
      </c>
      <c r="G360" s="91"/>
      <c r="H360" s="296">
        <v>1</v>
      </c>
      <c r="I360" s="295" t="s">
        <v>161</v>
      </c>
      <c r="J360" s="296">
        <v>1972</v>
      </c>
      <c r="K360" s="296"/>
      <c r="L360" s="301">
        <v>1</v>
      </c>
      <c r="M360" s="301"/>
      <c r="N360" s="8"/>
    </row>
    <row r="361" spans="1:14" ht="15" customHeight="1">
      <c r="A361" s="333"/>
      <c r="B361" s="333"/>
      <c r="C361" s="332"/>
      <c r="D361" s="299">
        <v>1</v>
      </c>
      <c r="E361" s="299"/>
      <c r="F361" s="299">
        <v>1</v>
      </c>
      <c r="G361" s="299"/>
      <c r="H361" s="299">
        <v>1</v>
      </c>
      <c r="I361" s="300" t="s">
        <v>161</v>
      </c>
      <c r="J361" s="301">
        <v>1964</v>
      </c>
      <c r="K361" s="301"/>
      <c r="L361" s="301">
        <v>1</v>
      </c>
      <c r="M361" s="301"/>
      <c r="N361" s="8"/>
    </row>
    <row r="362" spans="1:14" ht="15" customHeight="1">
      <c r="A362" s="334"/>
      <c r="B362" s="320"/>
      <c r="C362" s="332"/>
      <c r="D362" s="91">
        <v>1</v>
      </c>
      <c r="E362" s="91"/>
      <c r="F362" s="91">
        <v>1</v>
      </c>
      <c r="G362" s="91"/>
      <c r="H362" s="296">
        <v>1</v>
      </c>
      <c r="I362" s="296" t="s">
        <v>37</v>
      </c>
      <c r="J362" s="296">
        <v>1973</v>
      </c>
      <c r="K362" s="296"/>
      <c r="L362" s="301">
        <v>1</v>
      </c>
      <c r="M362" s="301"/>
      <c r="N362" s="8"/>
    </row>
    <row r="363" spans="1:14" ht="15" customHeight="1">
      <c r="A363" s="331"/>
      <c r="B363" s="320"/>
      <c r="C363" s="332"/>
      <c r="D363" s="91">
        <v>1</v>
      </c>
      <c r="E363" s="91"/>
      <c r="F363" s="91">
        <v>1</v>
      </c>
      <c r="G363" s="91"/>
      <c r="H363" s="296">
        <v>1</v>
      </c>
      <c r="I363" s="296" t="s">
        <v>170</v>
      </c>
      <c r="J363" s="296">
        <v>1973</v>
      </c>
      <c r="K363" s="296"/>
      <c r="L363" s="301">
        <v>1</v>
      </c>
      <c r="M363" s="301"/>
      <c r="N363" s="8"/>
    </row>
    <row r="364" spans="1:14" ht="15" customHeight="1">
      <c r="A364" s="334"/>
      <c r="B364" s="320"/>
      <c r="C364" s="332"/>
      <c r="D364" s="91">
        <v>1</v>
      </c>
      <c r="E364" s="91"/>
      <c r="F364" s="91">
        <v>1</v>
      </c>
      <c r="G364" s="91"/>
      <c r="H364" s="296">
        <v>1</v>
      </c>
      <c r="I364" s="296" t="s">
        <v>10</v>
      </c>
      <c r="J364" s="296">
        <v>1990</v>
      </c>
      <c r="K364" s="296"/>
      <c r="L364" s="301">
        <v>1</v>
      </c>
      <c r="M364" s="301"/>
      <c r="N364" s="8"/>
    </row>
    <row r="365" spans="1:14" ht="15" customHeight="1">
      <c r="A365" s="333"/>
      <c r="B365" s="333"/>
      <c r="C365" s="332"/>
      <c r="D365" s="299">
        <v>1</v>
      </c>
      <c r="E365" s="299"/>
      <c r="F365" s="299">
        <v>1</v>
      </c>
      <c r="G365" s="299"/>
      <c r="H365" s="299">
        <v>1</v>
      </c>
      <c r="I365" s="300" t="s">
        <v>163</v>
      </c>
      <c r="J365" s="301">
        <v>1964</v>
      </c>
      <c r="K365" s="301"/>
      <c r="L365" s="301">
        <v>1</v>
      </c>
      <c r="M365" s="301"/>
      <c r="N365" s="8"/>
    </row>
    <row r="366" spans="1:14" ht="15" customHeight="1">
      <c r="A366" s="331"/>
      <c r="B366" s="320"/>
      <c r="C366" s="332"/>
      <c r="D366" s="91">
        <v>1</v>
      </c>
      <c r="E366" s="91">
        <v>1</v>
      </c>
      <c r="F366" s="91"/>
      <c r="G366" s="91">
        <v>1</v>
      </c>
      <c r="H366" s="296"/>
      <c r="I366" s="296" t="s">
        <v>160</v>
      </c>
      <c r="J366" s="296">
        <v>1963</v>
      </c>
      <c r="K366" s="296"/>
      <c r="L366" s="301">
        <v>1</v>
      </c>
      <c r="M366" s="301"/>
      <c r="N366" s="8"/>
    </row>
    <row r="367" spans="1:14" ht="15" customHeight="1">
      <c r="A367" s="333"/>
      <c r="B367" s="333"/>
      <c r="C367" s="332"/>
      <c r="D367" s="299">
        <v>1</v>
      </c>
      <c r="E367" s="299"/>
      <c r="F367" s="299">
        <v>1</v>
      </c>
      <c r="G367" s="299"/>
      <c r="H367" s="299">
        <v>1</v>
      </c>
      <c r="I367" s="300" t="s">
        <v>167</v>
      </c>
      <c r="J367" s="301">
        <v>1971</v>
      </c>
      <c r="K367" s="301"/>
      <c r="L367" s="301">
        <v>1</v>
      </c>
      <c r="M367" s="301"/>
      <c r="N367" s="8"/>
    </row>
    <row r="368" spans="1:14" ht="15" customHeight="1">
      <c r="A368" s="333"/>
      <c r="B368" s="333"/>
      <c r="C368" s="332"/>
      <c r="D368" s="299">
        <v>1</v>
      </c>
      <c r="E368" s="299"/>
      <c r="F368" s="299">
        <v>1</v>
      </c>
      <c r="G368" s="299"/>
      <c r="H368" s="299">
        <v>1</v>
      </c>
      <c r="I368" s="300" t="s">
        <v>162</v>
      </c>
      <c r="J368" s="301">
        <v>1956</v>
      </c>
      <c r="K368" s="301"/>
      <c r="L368" s="301">
        <v>1</v>
      </c>
      <c r="M368" s="301"/>
      <c r="N368" s="8"/>
    </row>
    <row r="369" spans="1:14" ht="15" customHeight="1">
      <c r="A369" s="333"/>
      <c r="B369" s="333"/>
      <c r="C369" s="332"/>
      <c r="D369" s="299">
        <v>1</v>
      </c>
      <c r="E369" s="299"/>
      <c r="F369" s="299">
        <v>1</v>
      </c>
      <c r="G369" s="299"/>
      <c r="H369" s="299">
        <v>1</v>
      </c>
      <c r="I369" s="300" t="s">
        <v>161</v>
      </c>
      <c r="J369" s="301">
        <v>1965</v>
      </c>
      <c r="K369" s="301"/>
      <c r="L369" s="301">
        <v>1</v>
      </c>
      <c r="M369" s="301"/>
      <c r="N369" s="8"/>
    </row>
    <row r="370" spans="1:14" ht="15" customHeight="1">
      <c r="A370" s="331"/>
      <c r="B370" s="320"/>
      <c r="C370" s="332"/>
      <c r="D370" s="91">
        <v>1</v>
      </c>
      <c r="E370" s="91"/>
      <c r="F370" s="91">
        <v>1</v>
      </c>
      <c r="G370" s="91"/>
      <c r="H370" s="296">
        <v>1</v>
      </c>
      <c r="I370" s="296" t="s">
        <v>161</v>
      </c>
      <c r="J370" s="296">
        <v>1974</v>
      </c>
      <c r="K370" s="296"/>
      <c r="L370" s="301">
        <v>1</v>
      </c>
      <c r="M370" s="301"/>
      <c r="N370" s="8"/>
    </row>
    <row r="371" spans="1:14" ht="15" customHeight="1">
      <c r="A371" s="334"/>
      <c r="B371" s="320"/>
      <c r="C371" s="332"/>
      <c r="D371" s="91">
        <v>1</v>
      </c>
      <c r="E371" s="91"/>
      <c r="F371" s="91">
        <v>1</v>
      </c>
      <c r="G371" s="91"/>
      <c r="H371" s="296">
        <v>1</v>
      </c>
      <c r="I371" s="296" t="s">
        <v>164</v>
      </c>
      <c r="J371" s="296">
        <v>1960</v>
      </c>
      <c r="K371" s="296"/>
      <c r="L371" s="301">
        <v>1</v>
      </c>
      <c r="M371" s="301"/>
      <c r="N371" s="8"/>
    </row>
    <row r="372" spans="1:14" ht="15" customHeight="1">
      <c r="A372" s="342"/>
      <c r="B372" s="342"/>
      <c r="C372" s="343"/>
      <c r="D372" s="302">
        <v>1</v>
      </c>
      <c r="E372" s="302"/>
      <c r="F372" s="302">
        <v>1</v>
      </c>
      <c r="G372" s="302"/>
      <c r="H372" s="302">
        <v>1</v>
      </c>
      <c r="I372" s="300" t="s">
        <v>37</v>
      </c>
      <c r="J372" s="301">
        <v>1958</v>
      </c>
      <c r="K372" s="301"/>
      <c r="L372" s="301">
        <v>1</v>
      </c>
      <c r="M372" s="301"/>
      <c r="N372" s="8"/>
    </row>
    <row r="373" spans="1:14" ht="15" customHeight="1">
      <c r="A373" s="333"/>
      <c r="B373" s="333"/>
      <c r="C373" s="332"/>
      <c r="D373" s="299">
        <v>1</v>
      </c>
      <c r="E373" s="299"/>
      <c r="F373" s="299">
        <v>1</v>
      </c>
      <c r="G373" s="299"/>
      <c r="H373" s="299">
        <v>1</v>
      </c>
      <c r="I373" s="300" t="s">
        <v>37</v>
      </c>
      <c r="J373" s="301">
        <v>1972</v>
      </c>
      <c r="K373" s="301"/>
      <c r="L373" s="301">
        <v>1</v>
      </c>
      <c r="M373" s="301"/>
      <c r="N373" s="8"/>
    </row>
    <row r="374" spans="1:14" ht="15" customHeight="1">
      <c r="A374" s="334"/>
      <c r="B374" s="320"/>
      <c r="C374" s="332"/>
      <c r="D374" s="91">
        <v>1</v>
      </c>
      <c r="E374" s="91"/>
      <c r="F374" s="91">
        <v>1</v>
      </c>
      <c r="G374" s="91"/>
      <c r="H374" s="296">
        <v>1</v>
      </c>
      <c r="I374" s="296" t="s">
        <v>162</v>
      </c>
      <c r="J374" s="296">
        <v>1985</v>
      </c>
      <c r="K374" s="296"/>
      <c r="L374" s="301">
        <v>1</v>
      </c>
      <c r="M374" s="301"/>
      <c r="N374" s="8"/>
    </row>
    <row r="375" spans="1:14" ht="15" customHeight="1">
      <c r="A375" s="333"/>
      <c r="B375" s="333"/>
      <c r="C375" s="332"/>
      <c r="D375" s="299">
        <v>1</v>
      </c>
      <c r="E375" s="299"/>
      <c r="F375" s="299">
        <v>1</v>
      </c>
      <c r="G375" s="299"/>
      <c r="H375" s="299">
        <v>1</v>
      </c>
      <c r="I375" s="300" t="s">
        <v>161</v>
      </c>
      <c r="J375" s="301">
        <v>1979</v>
      </c>
      <c r="K375" s="301"/>
      <c r="L375" s="301">
        <v>1</v>
      </c>
      <c r="M375" s="301"/>
      <c r="N375" s="8"/>
    </row>
    <row r="376" spans="1:14" ht="15" customHeight="1">
      <c r="A376" s="333"/>
      <c r="B376" s="333"/>
      <c r="C376" s="332"/>
      <c r="D376" s="299">
        <v>1</v>
      </c>
      <c r="E376" s="299"/>
      <c r="F376" s="299">
        <v>1</v>
      </c>
      <c r="G376" s="299"/>
      <c r="H376" s="299">
        <v>1</v>
      </c>
      <c r="I376" s="300" t="s">
        <v>162</v>
      </c>
      <c r="J376" s="301">
        <v>1989</v>
      </c>
      <c r="K376" s="301"/>
      <c r="L376" s="301">
        <v>1</v>
      </c>
      <c r="M376" s="301"/>
      <c r="N376" s="8"/>
    </row>
    <row r="377" spans="1:14" ht="15" customHeight="1">
      <c r="A377" s="334"/>
      <c r="B377" s="320"/>
      <c r="C377" s="332"/>
      <c r="D377" s="91">
        <v>1</v>
      </c>
      <c r="E377" s="91"/>
      <c r="F377" s="91">
        <v>1</v>
      </c>
      <c r="G377" s="91"/>
      <c r="H377" s="296">
        <v>1</v>
      </c>
      <c r="I377" s="296" t="s">
        <v>165</v>
      </c>
      <c r="J377" s="296">
        <v>1958</v>
      </c>
      <c r="K377" s="296"/>
      <c r="L377" s="301">
        <v>1</v>
      </c>
      <c r="M377" s="301"/>
      <c r="N377" s="8"/>
    </row>
    <row r="378" spans="1:14" ht="15" customHeight="1">
      <c r="A378" s="331"/>
      <c r="B378" s="320"/>
      <c r="C378" s="332"/>
      <c r="D378" s="91">
        <v>1</v>
      </c>
      <c r="E378" s="91"/>
      <c r="F378" s="91">
        <v>1</v>
      </c>
      <c r="G378" s="91"/>
      <c r="H378" s="296">
        <v>1</v>
      </c>
      <c r="I378" s="296" t="s">
        <v>171</v>
      </c>
      <c r="J378" s="296">
        <v>1976</v>
      </c>
      <c r="K378" s="296"/>
      <c r="L378" s="301">
        <v>1</v>
      </c>
      <c r="M378" s="301"/>
      <c r="N378" s="8"/>
    </row>
    <row r="379" spans="1:14" ht="15" customHeight="1">
      <c r="A379" s="333"/>
      <c r="B379" s="333"/>
      <c r="C379" s="332"/>
      <c r="D379" s="299">
        <v>1</v>
      </c>
      <c r="E379" s="299"/>
      <c r="F379" s="299">
        <v>1</v>
      </c>
      <c r="G379" s="299"/>
      <c r="H379" s="299">
        <v>1</v>
      </c>
      <c r="I379" s="300" t="s">
        <v>165</v>
      </c>
      <c r="J379" s="301">
        <v>1957</v>
      </c>
      <c r="K379" s="301"/>
      <c r="L379" s="301">
        <v>1</v>
      </c>
      <c r="M379" s="301"/>
      <c r="N379" s="8"/>
    </row>
    <row r="380" spans="1:14" ht="15" customHeight="1">
      <c r="A380" s="333"/>
      <c r="B380" s="333"/>
      <c r="C380" s="332"/>
      <c r="D380" s="299">
        <v>1</v>
      </c>
      <c r="E380" s="299"/>
      <c r="F380" s="299">
        <v>1</v>
      </c>
      <c r="G380" s="299"/>
      <c r="H380" s="299">
        <v>1</v>
      </c>
      <c r="I380" s="300" t="s">
        <v>37</v>
      </c>
      <c r="J380" s="301">
        <v>1959</v>
      </c>
      <c r="K380" s="301"/>
      <c r="L380" s="301">
        <v>1</v>
      </c>
      <c r="M380" s="301"/>
      <c r="N380" s="8"/>
    </row>
    <row r="381" spans="1:14" ht="15" customHeight="1">
      <c r="A381" s="333"/>
      <c r="B381" s="333"/>
      <c r="C381" s="332"/>
      <c r="D381" s="299">
        <v>1</v>
      </c>
      <c r="E381" s="299"/>
      <c r="F381" s="299">
        <v>1</v>
      </c>
      <c r="G381" s="299"/>
      <c r="H381" s="299">
        <v>1</v>
      </c>
      <c r="I381" s="300" t="s">
        <v>162</v>
      </c>
      <c r="J381" s="301">
        <v>1958</v>
      </c>
      <c r="K381" s="301"/>
      <c r="L381" s="301">
        <v>1</v>
      </c>
      <c r="M381" s="301"/>
      <c r="N381" s="8"/>
    </row>
    <row r="382" spans="1:14" ht="15" customHeight="1">
      <c r="A382" s="333"/>
      <c r="B382" s="333"/>
      <c r="C382" s="332"/>
      <c r="D382" s="299">
        <v>1</v>
      </c>
      <c r="E382" s="299"/>
      <c r="F382" s="299">
        <v>1</v>
      </c>
      <c r="G382" s="299"/>
      <c r="H382" s="299">
        <v>1</v>
      </c>
      <c r="I382" s="300" t="s">
        <v>167</v>
      </c>
      <c r="J382" s="301">
        <v>1973</v>
      </c>
      <c r="K382" s="301"/>
      <c r="L382" s="301">
        <v>1</v>
      </c>
      <c r="M382" s="301"/>
      <c r="N382" s="8"/>
    </row>
    <row r="383" spans="1:14" ht="15" customHeight="1">
      <c r="A383" s="333"/>
      <c r="B383" s="333"/>
      <c r="C383" s="332"/>
      <c r="D383" s="299">
        <v>1</v>
      </c>
      <c r="E383" s="299">
        <v>1</v>
      </c>
      <c r="F383" s="299"/>
      <c r="G383" s="299"/>
      <c r="H383" s="299">
        <v>1</v>
      </c>
      <c r="I383" s="300" t="s">
        <v>176</v>
      </c>
      <c r="J383" s="301">
        <v>1952</v>
      </c>
      <c r="K383" s="301"/>
      <c r="L383" s="301">
        <v>1</v>
      </c>
      <c r="M383" s="301"/>
      <c r="N383" s="8"/>
    </row>
    <row r="384" spans="1:14" ht="15" customHeight="1">
      <c r="A384" s="344"/>
      <c r="B384" s="344"/>
      <c r="C384" s="345"/>
      <c r="D384" s="303">
        <v>1</v>
      </c>
      <c r="E384" s="303"/>
      <c r="F384" s="303">
        <v>1</v>
      </c>
      <c r="G384" s="303"/>
      <c r="H384" s="303">
        <v>1</v>
      </c>
      <c r="I384" s="304" t="s">
        <v>37</v>
      </c>
      <c r="J384" s="299">
        <v>1954</v>
      </c>
      <c r="K384" s="299"/>
      <c r="L384" s="301">
        <v>1</v>
      </c>
      <c r="M384" s="299"/>
      <c r="N384" s="8"/>
    </row>
    <row r="385" spans="1:14" ht="15" customHeight="1">
      <c r="A385" s="331"/>
      <c r="B385" s="320"/>
      <c r="C385" s="332"/>
      <c r="D385" s="91">
        <v>1</v>
      </c>
      <c r="E385" s="91"/>
      <c r="F385" s="91">
        <v>1</v>
      </c>
      <c r="G385" s="91"/>
      <c r="H385" s="296">
        <v>1</v>
      </c>
      <c r="I385" s="296" t="s">
        <v>167</v>
      </c>
      <c r="J385" s="296">
        <v>1980</v>
      </c>
      <c r="K385" s="296"/>
      <c r="L385" s="301">
        <v>1</v>
      </c>
      <c r="M385" s="301"/>
      <c r="N385" s="8"/>
    </row>
    <row r="386" spans="1:14" ht="15" customHeight="1">
      <c r="A386" s="333"/>
      <c r="B386" s="333"/>
      <c r="C386" s="332"/>
      <c r="D386" s="299">
        <v>1</v>
      </c>
      <c r="E386" s="299"/>
      <c r="F386" s="299">
        <v>1</v>
      </c>
      <c r="G386" s="299"/>
      <c r="H386" s="299">
        <v>1</v>
      </c>
      <c r="I386" s="300" t="s">
        <v>163</v>
      </c>
      <c r="J386" s="301">
        <v>1970</v>
      </c>
      <c r="K386" s="301"/>
      <c r="L386" s="301">
        <v>1</v>
      </c>
      <c r="M386" s="301"/>
      <c r="N386" s="8"/>
    </row>
    <row r="387" spans="1:14" ht="15" customHeight="1">
      <c r="A387" s="333"/>
      <c r="B387" s="333"/>
      <c r="C387" s="332"/>
      <c r="D387" s="299">
        <v>1</v>
      </c>
      <c r="E387" s="299"/>
      <c r="F387" s="299">
        <v>1</v>
      </c>
      <c r="G387" s="299"/>
      <c r="H387" s="299">
        <v>1</v>
      </c>
      <c r="I387" s="300" t="s">
        <v>167</v>
      </c>
      <c r="J387" s="301">
        <v>1960</v>
      </c>
      <c r="K387" s="301"/>
      <c r="L387" s="301">
        <v>1</v>
      </c>
      <c r="M387" s="301"/>
      <c r="N387" s="8"/>
    </row>
    <row r="388" spans="1:14" ht="15" customHeight="1">
      <c r="A388" s="331"/>
      <c r="B388" s="320"/>
      <c r="C388" s="332"/>
      <c r="D388" s="91">
        <v>1</v>
      </c>
      <c r="E388" s="91">
        <v>1</v>
      </c>
      <c r="F388" s="91"/>
      <c r="G388" s="91"/>
      <c r="H388" s="296">
        <v>1</v>
      </c>
      <c r="I388" s="296" t="s">
        <v>168</v>
      </c>
      <c r="J388" s="296">
        <v>1971</v>
      </c>
      <c r="K388" s="296"/>
      <c r="L388" s="301">
        <v>1</v>
      </c>
      <c r="M388" s="301"/>
      <c r="N388" s="8"/>
    </row>
    <row r="389" spans="1:14" ht="15" customHeight="1">
      <c r="A389" s="333"/>
      <c r="B389" s="333"/>
      <c r="C389" s="332"/>
      <c r="D389" s="299">
        <v>1</v>
      </c>
      <c r="E389" s="299"/>
      <c r="F389" s="299">
        <v>1</v>
      </c>
      <c r="G389" s="299"/>
      <c r="H389" s="299">
        <v>1</v>
      </c>
      <c r="I389" s="300" t="s">
        <v>167</v>
      </c>
      <c r="J389" s="301">
        <v>1960</v>
      </c>
      <c r="K389" s="301"/>
      <c r="L389" s="301">
        <v>1</v>
      </c>
      <c r="M389" s="301"/>
      <c r="N389" s="8"/>
    </row>
    <row r="390" spans="1:14" ht="15" customHeight="1">
      <c r="A390" s="331"/>
      <c r="B390" s="320"/>
      <c r="C390" s="332"/>
      <c r="D390" s="91">
        <v>1</v>
      </c>
      <c r="E390" s="91"/>
      <c r="F390" s="91">
        <v>1</v>
      </c>
      <c r="G390" s="91"/>
      <c r="H390" s="296">
        <v>1</v>
      </c>
      <c r="I390" s="296" t="s">
        <v>168</v>
      </c>
      <c r="J390" s="296">
        <v>1972</v>
      </c>
      <c r="K390" s="296"/>
      <c r="L390" s="301">
        <v>1</v>
      </c>
      <c r="M390" s="301"/>
      <c r="N390" s="8"/>
    </row>
    <row r="391" spans="1:14" ht="15" customHeight="1">
      <c r="A391" s="334"/>
      <c r="B391" s="320"/>
      <c r="C391" s="332"/>
      <c r="D391" s="91">
        <v>1</v>
      </c>
      <c r="E391" s="91"/>
      <c r="F391" s="91">
        <v>1</v>
      </c>
      <c r="G391" s="91"/>
      <c r="H391" s="296">
        <v>1</v>
      </c>
      <c r="I391" s="296" t="s">
        <v>164</v>
      </c>
      <c r="J391" s="296">
        <v>1961</v>
      </c>
      <c r="K391" s="296"/>
      <c r="L391" s="301">
        <v>1</v>
      </c>
      <c r="M391" s="301"/>
      <c r="N391" s="8"/>
    </row>
    <row r="392" spans="1:14" ht="15" customHeight="1">
      <c r="A392" s="346"/>
      <c r="B392" s="347"/>
      <c r="C392" s="348"/>
      <c r="D392" s="305">
        <v>1</v>
      </c>
      <c r="E392" s="305"/>
      <c r="F392" s="305">
        <v>1</v>
      </c>
      <c r="G392" s="305"/>
      <c r="H392" s="305">
        <v>1</v>
      </c>
      <c r="I392" s="304" t="s">
        <v>167</v>
      </c>
      <c r="J392" s="301">
        <v>1971</v>
      </c>
      <c r="K392" s="301"/>
      <c r="L392" s="301">
        <v>1</v>
      </c>
      <c r="M392" s="301"/>
      <c r="N392" s="8"/>
    </row>
    <row r="393" spans="1:14" ht="15" customHeight="1">
      <c r="A393" s="334"/>
      <c r="B393" s="320"/>
      <c r="C393" s="332"/>
      <c r="D393" s="91">
        <v>1</v>
      </c>
      <c r="E393" s="91"/>
      <c r="F393" s="91">
        <v>1</v>
      </c>
      <c r="G393" s="91"/>
      <c r="H393" s="296">
        <v>1</v>
      </c>
      <c r="I393" s="296" t="s">
        <v>166</v>
      </c>
      <c r="J393" s="296">
        <v>1977</v>
      </c>
      <c r="K393" s="296"/>
      <c r="L393" s="301">
        <v>1</v>
      </c>
      <c r="M393" s="301"/>
      <c r="N393" s="8"/>
    </row>
    <row r="394" spans="1:14" ht="15" customHeight="1">
      <c r="A394" s="333"/>
      <c r="B394" s="333"/>
      <c r="C394" s="332"/>
      <c r="D394" s="299">
        <v>1</v>
      </c>
      <c r="E394" s="299"/>
      <c r="F394" s="299">
        <v>1</v>
      </c>
      <c r="G394" s="299"/>
      <c r="H394" s="299">
        <v>1</v>
      </c>
      <c r="I394" s="300" t="s">
        <v>177</v>
      </c>
      <c r="J394" s="301">
        <v>1966</v>
      </c>
      <c r="K394" s="301"/>
      <c r="L394" s="301">
        <v>1</v>
      </c>
      <c r="M394" s="301"/>
      <c r="N394" s="8"/>
    </row>
    <row r="395" spans="1:14" ht="15" customHeight="1">
      <c r="A395" s="333"/>
      <c r="B395" s="333"/>
      <c r="C395" s="332"/>
      <c r="D395" s="299">
        <v>1</v>
      </c>
      <c r="E395" s="299"/>
      <c r="F395" s="299">
        <v>1</v>
      </c>
      <c r="G395" s="299"/>
      <c r="H395" s="299">
        <v>1</v>
      </c>
      <c r="I395" s="300" t="s">
        <v>162</v>
      </c>
      <c r="J395" s="301">
        <v>1980</v>
      </c>
      <c r="K395" s="301"/>
      <c r="L395" s="301">
        <v>1</v>
      </c>
      <c r="M395" s="301"/>
      <c r="N395" s="8"/>
    </row>
    <row r="396" spans="1:14" ht="15" customHeight="1">
      <c r="A396" s="331"/>
      <c r="B396" s="320"/>
      <c r="C396" s="332"/>
      <c r="D396" s="91">
        <v>1</v>
      </c>
      <c r="E396" s="91"/>
      <c r="F396" s="91">
        <v>1</v>
      </c>
      <c r="G396" s="91"/>
      <c r="H396" s="296">
        <v>1</v>
      </c>
      <c r="I396" s="296" t="s">
        <v>4</v>
      </c>
      <c r="J396" s="296">
        <v>1963</v>
      </c>
      <c r="K396" s="296"/>
      <c r="L396" s="301">
        <v>1</v>
      </c>
      <c r="M396" s="301"/>
      <c r="N396" s="8"/>
    </row>
    <row r="397" spans="1:14" ht="15" customHeight="1">
      <c r="A397" s="334"/>
      <c r="B397" s="320"/>
      <c r="C397" s="332"/>
      <c r="D397" s="91">
        <v>1</v>
      </c>
      <c r="E397" s="91"/>
      <c r="F397" s="91">
        <v>1</v>
      </c>
      <c r="G397" s="91"/>
      <c r="H397" s="296">
        <v>1</v>
      </c>
      <c r="I397" s="296" t="s">
        <v>167</v>
      </c>
      <c r="J397" s="296">
        <v>1988</v>
      </c>
      <c r="K397" s="296"/>
      <c r="L397" s="301">
        <v>1</v>
      </c>
      <c r="M397" s="301"/>
      <c r="N397" s="8"/>
    </row>
    <row r="398" spans="1:14" ht="15" customHeight="1">
      <c r="A398" s="333"/>
      <c r="B398" s="333"/>
      <c r="C398" s="332"/>
      <c r="D398" s="299">
        <v>1</v>
      </c>
      <c r="E398" s="299">
        <v>1</v>
      </c>
      <c r="F398" s="299"/>
      <c r="G398" s="299"/>
      <c r="H398" s="299">
        <v>1</v>
      </c>
      <c r="I398" s="300" t="s">
        <v>162</v>
      </c>
      <c r="J398" s="301">
        <v>1964</v>
      </c>
      <c r="K398" s="301"/>
      <c r="L398" s="301">
        <v>1</v>
      </c>
      <c r="M398" s="301"/>
      <c r="N398" s="8"/>
    </row>
    <row r="399" spans="1:14" ht="15" customHeight="1">
      <c r="A399" s="333"/>
      <c r="B399" s="333"/>
      <c r="C399" s="332"/>
      <c r="D399" s="299">
        <v>1</v>
      </c>
      <c r="E399" s="299"/>
      <c r="F399" s="299">
        <v>1</v>
      </c>
      <c r="G399" s="299">
        <v>1</v>
      </c>
      <c r="H399" s="299"/>
      <c r="I399" s="300" t="s">
        <v>160</v>
      </c>
      <c r="J399" s="301">
        <v>1956</v>
      </c>
      <c r="K399" s="301"/>
      <c r="L399" s="301">
        <v>1</v>
      </c>
      <c r="M399" s="301"/>
      <c r="N399" s="8"/>
    </row>
    <row r="400" spans="1:14" ht="15" customHeight="1">
      <c r="A400" s="333"/>
      <c r="B400" s="333"/>
      <c r="C400" s="332"/>
      <c r="D400" s="299">
        <v>1</v>
      </c>
      <c r="E400" s="299"/>
      <c r="F400" s="299">
        <v>1</v>
      </c>
      <c r="G400" s="299"/>
      <c r="H400" s="299">
        <v>1</v>
      </c>
      <c r="I400" s="300" t="s">
        <v>167</v>
      </c>
      <c r="J400" s="301">
        <v>1957</v>
      </c>
      <c r="K400" s="301"/>
      <c r="L400" s="301">
        <v>1</v>
      </c>
      <c r="M400" s="301"/>
      <c r="N400" s="8"/>
    </row>
    <row r="401" spans="1:14" ht="15" customHeight="1">
      <c r="A401" s="331"/>
      <c r="B401" s="320"/>
      <c r="C401" s="332"/>
      <c r="D401" s="91">
        <v>1</v>
      </c>
      <c r="E401" s="91"/>
      <c r="F401" s="91">
        <v>1</v>
      </c>
      <c r="G401" s="91">
        <v>1</v>
      </c>
      <c r="H401" s="296"/>
      <c r="I401" s="296" t="s">
        <v>160</v>
      </c>
      <c r="J401" s="296">
        <v>1964</v>
      </c>
      <c r="K401" s="296"/>
      <c r="L401" s="301">
        <v>1</v>
      </c>
      <c r="M401" s="301"/>
      <c r="N401" s="8"/>
    </row>
    <row r="402" spans="1:14" ht="15" customHeight="1">
      <c r="A402" s="333"/>
      <c r="B402" s="333"/>
      <c r="C402" s="332"/>
      <c r="D402" s="299">
        <v>1</v>
      </c>
      <c r="E402" s="299"/>
      <c r="F402" s="299">
        <v>1</v>
      </c>
      <c r="G402" s="299"/>
      <c r="H402" s="299">
        <v>1</v>
      </c>
      <c r="I402" s="300" t="s">
        <v>167</v>
      </c>
      <c r="J402" s="301">
        <v>1962</v>
      </c>
      <c r="K402" s="301"/>
      <c r="L402" s="301">
        <v>1</v>
      </c>
      <c r="M402" s="301"/>
      <c r="N402" s="8"/>
    </row>
    <row r="403" spans="1:14" ht="15" customHeight="1">
      <c r="A403" s="331"/>
      <c r="B403" s="320"/>
      <c r="C403" s="332"/>
      <c r="D403" s="91">
        <v>1</v>
      </c>
      <c r="E403" s="91"/>
      <c r="F403" s="91">
        <v>1</v>
      </c>
      <c r="G403" s="91">
        <v>1</v>
      </c>
      <c r="H403" s="296"/>
      <c r="I403" s="296" t="s">
        <v>160</v>
      </c>
      <c r="J403" s="296">
        <v>1985</v>
      </c>
      <c r="K403" s="296"/>
      <c r="L403" s="301">
        <v>1</v>
      </c>
      <c r="M403" s="301"/>
      <c r="N403" s="8"/>
    </row>
    <row r="404" spans="1:14" ht="15" customHeight="1">
      <c r="A404" s="334"/>
      <c r="B404" s="320"/>
      <c r="C404" s="332"/>
      <c r="D404" s="91">
        <v>1</v>
      </c>
      <c r="E404" s="91"/>
      <c r="F404" s="91">
        <v>1</v>
      </c>
      <c r="G404" s="91"/>
      <c r="H404" s="296">
        <v>1</v>
      </c>
      <c r="I404" s="296" t="s">
        <v>165</v>
      </c>
      <c r="J404" s="296">
        <v>1957</v>
      </c>
      <c r="K404" s="296"/>
      <c r="L404" s="301">
        <v>1</v>
      </c>
      <c r="M404" s="301"/>
      <c r="N404" s="8"/>
    </row>
    <row r="405" spans="1:14" ht="15" customHeight="1">
      <c r="A405" s="320"/>
      <c r="B405" s="320"/>
      <c r="C405" s="330"/>
      <c r="D405" s="301">
        <v>1</v>
      </c>
      <c r="E405" s="301"/>
      <c r="F405" s="301">
        <v>1</v>
      </c>
      <c r="G405" s="301">
        <v>1</v>
      </c>
      <c r="H405" s="301"/>
      <c r="I405" s="300" t="s">
        <v>160</v>
      </c>
      <c r="J405" s="301">
        <v>1972</v>
      </c>
      <c r="K405" s="301"/>
      <c r="L405" s="301">
        <v>1</v>
      </c>
      <c r="M405" s="301"/>
      <c r="N405" s="8"/>
    </row>
    <row r="406" spans="1:14" ht="15" customHeight="1">
      <c r="A406" s="333"/>
      <c r="B406" s="333"/>
      <c r="C406" s="332"/>
      <c r="D406" s="299">
        <v>1</v>
      </c>
      <c r="E406" s="299"/>
      <c r="F406" s="299">
        <v>1</v>
      </c>
      <c r="G406" s="299"/>
      <c r="H406" s="299">
        <v>1</v>
      </c>
      <c r="I406" s="300" t="s">
        <v>167</v>
      </c>
      <c r="J406" s="301">
        <v>1967</v>
      </c>
      <c r="K406" s="301"/>
      <c r="L406" s="301">
        <v>1</v>
      </c>
      <c r="M406" s="301"/>
      <c r="N406" s="8"/>
    </row>
    <row r="407" spans="1:14" ht="15" customHeight="1">
      <c r="A407" s="334"/>
      <c r="B407" s="320"/>
      <c r="C407" s="332"/>
      <c r="D407" s="91">
        <v>1</v>
      </c>
      <c r="E407" s="91"/>
      <c r="F407" s="91">
        <v>1</v>
      </c>
      <c r="G407" s="91"/>
      <c r="H407" s="296">
        <v>1</v>
      </c>
      <c r="I407" s="296" t="s">
        <v>10</v>
      </c>
      <c r="J407" s="296">
        <v>1960</v>
      </c>
      <c r="K407" s="296"/>
      <c r="L407" s="301">
        <v>1</v>
      </c>
      <c r="M407" s="301"/>
      <c r="N407" s="8"/>
    </row>
    <row r="408" spans="1:14" ht="15" customHeight="1">
      <c r="A408" s="333"/>
      <c r="B408" s="333"/>
      <c r="C408" s="332"/>
      <c r="D408" s="299">
        <v>1</v>
      </c>
      <c r="E408" s="299"/>
      <c r="F408" s="299">
        <v>1</v>
      </c>
      <c r="G408" s="299"/>
      <c r="H408" s="299">
        <v>1</v>
      </c>
      <c r="I408" s="300" t="s">
        <v>37</v>
      </c>
      <c r="J408" s="301">
        <v>1965</v>
      </c>
      <c r="K408" s="301"/>
      <c r="L408" s="301">
        <v>1</v>
      </c>
      <c r="M408" s="301"/>
      <c r="N408" s="8"/>
    </row>
    <row r="409" spans="1:14" ht="15" customHeight="1">
      <c r="A409" s="334"/>
      <c r="B409" s="320"/>
      <c r="C409" s="332"/>
      <c r="D409" s="91">
        <v>1</v>
      </c>
      <c r="E409" s="91"/>
      <c r="F409" s="91">
        <v>1</v>
      </c>
      <c r="G409" s="91"/>
      <c r="H409" s="296">
        <v>1</v>
      </c>
      <c r="I409" s="295" t="s">
        <v>163</v>
      </c>
      <c r="J409" s="296">
        <v>1974</v>
      </c>
      <c r="K409" s="296"/>
      <c r="L409" s="301">
        <v>1</v>
      </c>
      <c r="M409" s="301"/>
      <c r="N409" s="8"/>
    </row>
    <row r="410" spans="1:14" ht="15" customHeight="1">
      <c r="A410" s="333"/>
      <c r="B410" s="333"/>
      <c r="C410" s="332"/>
      <c r="D410" s="299">
        <v>1</v>
      </c>
      <c r="E410" s="299"/>
      <c r="F410" s="299">
        <v>1</v>
      </c>
      <c r="G410" s="299">
        <v>1</v>
      </c>
      <c r="H410" s="299"/>
      <c r="I410" s="300" t="s">
        <v>160</v>
      </c>
      <c r="J410" s="301">
        <v>1968</v>
      </c>
      <c r="K410" s="301"/>
      <c r="L410" s="301">
        <v>1</v>
      </c>
      <c r="M410" s="301"/>
      <c r="N410" s="8"/>
    </row>
    <row r="411" spans="1:14" ht="15" customHeight="1">
      <c r="A411" s="349"/>
      <c r="B411" s="320"/>
      <c r="C411" s="332"/>
      <c r="D411" s="91">
        <v>1</v>
      </c>
      <c r="E411" s="91"/>
      <c r="F411" s="91">
        <v>1</v>
      </c>
      <c r="G411" s="91"/>
      <c r="H411" s="296">
        <v>1</v>
      </c>
      <c r="I411" s="296" t="s">
        <v>168</v>
      </c>
      <c r="J411" s="295">
        <v>1970</v>
      </c>
      <c r="K411" s="295"/>
      <c r="L411" s="301">
        <v>1</v>
      </c>
      <c r="M411" s="301"/>
      <c r="N411" s="8"/>
    </row>
    <row r="412" spans="1:14" ht="15" customHeight="1">
      <c r="A412" s="334"/>
      <c r="B412" s="320"/>
      <c r="C412" s="332"/>
      <c r="D412" s="91">
        <v>1</v>
      </c>
      <c r="E412" s="91">
        <v>1</v>
      </c>
      <c r="F412" s="91"/>
      <c r="G412" s="91"/>
      <c r="H412" s="296">
        <v>1</v>
      </c>
      <c r="I412" s="296" t="s">
        <v>167</v>
      </c>
      <c r="J412" s="296">
        <v>1965</v>
      </c>
      <c r="K412" s="296"/>
      <c r="L412" s="301">
        <v>1</v>
      </c>
      <c r="M412" s="301"/>
      <c r="N412" s="8"/>
    </row>
    <row r="413" spans="1:14" ht="15" customHeight="1">
      <c r="A413" s="333"/>
      <c r="B413" s="333"/>
      <c r="C413" s="332"/>
      <c r="D413" s="299">
        <v>1</v>
      </c>
      <c r="E413" s="299"/>
      <c r="F413" s="299">
        <v>1</v>
      </c>
      <c r="G413" s="299"/>
      <c r="H413" s="299">
        <v>1</v>
      </c>
      <c r="I413" s="300" t="s">
        <v>167</v>
      </c>
      <c r="J413" s="301">
        <v>1979</v>
      </c>
      <c r="K413" s="301"/>
      <c r="L413" s="301">
        <v>1</v>
      </c>
      <c r="M413" s="301"/>
      <c r="N413" s="8"/>
    </row>
    <row r="414" spans="1:14" ht="15" customHeight="1">
      <c r="A414" s="333"/>
      <c r="B414" s="333"/>
      <c r="C414" s="332"/>
      <c r="D414" s="299">
        <v>1</v>
      </c>
      <c r="E414" s="299"/>
      <c r="F414" s="299">
        <v>1</v>
      </c>
      <c r="G414" s="299"/>
      <c r="H414" s="299">
        <v>1</v>
      </c>
      <c r="I414" s="300" t="s">
        <v>37</v>
      </c>
      <c r="J414" s="301">
        <v>1955</v>
      </c>
      <c r="K414" s="301"/>
      <c r="L414" s="301">
        <v>1</v>
      </c>
      <c r="M414" s="301"/>
      <c r="N414" s="8"/>
    </row>
    <row r="415" spans="1:14" ht="15" customHeight="1">
      <c r="A415" s="333"/>
      <c r="B415" s="333"/>
      <c r="C415" s="332"/>
      <c r="D415" s="299">
        <v>1</v>
      </c>
      <c r="E415" s="299"/>
      <c r="F415" s="299">
        <v>1</v>
      </c>
      <c r="G415" s="299"/>
      <c r="H415" s="299">
        <v>1</v>
      </c>
      <c r="I415" s="300" t="s">
        <v>163</v>
      </c>
      <c r="J415" s="301">
        <v>1963</v>
      </c>
      <c r="K415" s="301"/>
      <c r="L415" s="301">
        <v>1</v>
      </c>
      <c r="M415" s="301"/>
      <c r="N415" s="8"/>
    </row>
    <row r="416" spans="1:14" ht="15" customHeight="1">
      <c r="A416" s="334"/>
      <c r="B416" s="320"/>
      <c r="C416" s="332"/>
      <c r="D416" s="91">
        <v>1</v>
      </c>
      <c r="E416" s="91"/>
      <c r="F416" s="91">
        <v>1</v>
      </c>
      <c r="G416" s="91"/>
      <c r="H416" s="296">
        <v>1</v>
      </c>
      <c r="I416" s="296" t="s">
        <v>162</v>
      </c>
      <c r="J416" s="296">
        <v>1963</v>
      </c>
      <c r="K416" s="296"/>
      <c r="L416" s="301">
        <v>1</v>
      </c>
      <c r="M416" s="301"/>
      <c r="N416" s="8"/>
    </row>
    <row r="417" spans="1:14" ht="15" customHeight="1">
      <c r="A417" s="331"/>
      <c r="B417" s="320"/>
      <c r="C417" s="332"/>
      <c r="D417" s="91">
        <v>1</v>
      </c>
      <c r="E417" s="91"/>
      <c r="F417" s="91">
        <v>1</v>
      </c>
      <c r="G417" s="91"/>
      <c r="H417" s="296">
        <v>1</v>
      </c>
      <c r="I417" s="296" t="s">
        <v>43</v>
      </c>
      <c r="J417" s="296">
        <v>1986</v>
      </c>
      <c r="K417" s="296"/>
      <c r="L417" s="301">
        <v>1</v>
      </c>
      <c r="M417" s="301"/>
      <c r="N417" s="8"/>
    </row>
    <row r="418" spans="1:14" ht="15" customHeight="1">
      <c r="A418" s="333"/>
      <c r="B418" s="333"/>
      <c r="C418" s="332"/>
      <c r="D418" s="299">
        <v>1</v>
      </c>
      <c r="E418" s="299"/>
      <c r="F418" s="299">
        <v>1</v>
      </c>
      <c r="G418" s="299"/>
      <c r="H418" s="299">
        <v>1</v>
      </c>
      <c r="I418" s="300" t="s">
        <v>162</v>
      </c>
      <c r="J418" s="301">
        <v>1970</v>
      </c>
      <c r="K418" s="301"/>
      <c r="L418" s="301">
        <v>1</v>
      </c>
      <c r="M418" s="301"/>
      <c r="N418" s="8"/>
    </row>
    <row r="419" spans="1:14" ht="15" customHeight="1">
      <c r="A419" s="333"/>
      <c r="B419" s="333"/>
      <c r="C419" s="332"/>
      <c r="D419" s="299">
        <v>1</v>
      </c>
      <c r="E419" s="299"/>
      <c r="F419" s="299">
        <v>1</v>
      </c>
      <c r="G419" s="299"/>
      <c r="H419" s="299">
        <v>1</v>
      </c>
      <c r="I419" s="300" t="s">
        <v>165</v>
      </c>
      <c r="J419" s="301">
        <v>1945</v>
      </c>
      <c r="K419" s="301"/>
      <c r="L419" s="301">
        <v>1</v>
      </c>
      <c r="M419" s="301"/>
      <c r="N419" s="8"/>
    </row>
    <row r="420" spans="1:14" ht="15" customHeight="1">
      <c r="A420" s="320"/>
      <c r="B420" s="320"/>
      <c r="C420" s="330"/>
      <c r="D420" s="301">
        <v>1</v>
      </c>
      <c r="E420" s="301"/>
      <c r="F420" s="301">
        <v>1</v>
      </c>
      <c r="G420" s="301"/>
      <c r="H420" s="301">
        <v>1</v>
      </c>
      <c r="I420" s="300" t="s">
        <v>167</v>
      </c>
      <c r="J420" s="301">
        <v>1967</v>
      </c>
      <c r="K420" s="301"/>
      <c r="L420" s="301">
        <v>1</v>
      </c>
      <c r="M420" s="301"/>
      <c r="N420" s="8"/>
    </row>
    <row r="421" spans="1:14" ht="15" customHeight="1">
      <c r="A421" s="333"/>
      <c r="B421" s="333"/>
      <c r="C421" s="332"/>
      <c r="D421" s="299">
        <v>1</v>
      </c>
      <c r="E421" s="299"/>
      <c r="F421" s="299">
        <v>1</v>
      </c>
      <c r="G421" s="299">
        <v>1</v>
      </c>
      <c r="H421" s="299"/>
      <c r="I421" s="300" t="s">
        <v>160</v>
      </c>
      <c r="J421" s="301">
        <v>1976</v>
      </c>
      <c r="K421" s="301"/>
      <c r="L421" s="301">
        <v>1</v>
      </c>
      <c r="M421" s="301"/>
      <c r="N421" s="8"/>
    </row>
    <row r="422" spans="1:14" ht="15" customHeight="1">
      <c r="A422" s="333"/>
      <c r="B422" s="333"/>
      <c r="C422" s="332"/>
      <c r="D422" s="299">
        <v>1</v>
      </c>
      <c r="E422" s="299"/>
      <c r="F422" s="299">
        <v>1</v>
      </c>
      <c r="G422" s="299"/>
      <c r="H422" s="299">
        <v>1</v>
      </c>
      <c r="I422" s="300" t="s">
        <v>37</v>
      </c>
      <c r="J422" s="301">
        <v>1958</v>
      </c>
      <c r="K422" s="301"/>
      <c r="L422" s="301">
        <v>1</v>
      </c>
      <c r="M422" s="301"/>
      <c r="N422" s="8"/>
    </row>
    <row r="423" spans="1:14" ht="15" customHeight="1">
      <c r="A423" s="333"/>
      <c r="B423" s="333"/>
      <c r="C423" s="332"/>
      <c r="D423" s="299">
        <v>1</v>
      </c>
      <c r="E423" s="299"/>
      <c r="F423" s="299">
        <v>1</v>
      </c>
      <c r="G423" s="299"/>
      <c r="H423" s="299">
        <v>1</v>
      </c>
      <c r="I423" s="300" t="s">
        <v>163</v>
      </c>
      <c r="J423" s="301">
        <v>1964</v>
      </c>
      <c r="K423" s="301"/>
      <c r="L423" s="301">
        <v>1</v>
      </c>
      <c r="M423" s="301"/>
      <c r="N423" s="8"/>
    </row>
    <row r="424" spans="1:14" ht="15" customHeight="1">
      <c r="A424" s="334"/>
      <c r="B424" s="320"/>
      <c r="C424" s="332"/>
      <c r="D424" s="91">
        <v>1</v>
      </c>
      <c r="E424" s="91"/>
      <c r="F424" s="91">
        <v>1</v>
      </c>
      <c r="G424" s="91"/>
      <c r="H424" s="296">
        <v>1</v>
      </c>
      <c r="I424" s="296" t="s">
        <v>163</v>
      </c>
      <c r="J424" s="296">
        <v>1964</v>
      </c>
      <c r="K424" s="296"/>
      <c r="L424" s="301">
        <v>1</v>
      </c>
      <c r="M424" s="301"/>
      <c r="N424" s="8"/>
    </row>
    <row r="425" spans="1:14" ht="15" customHeight="1">
      <c r="A425" s="333"/>
      <c r="B425" s="333"/>
      <c r="C425" s="332"/>
      <c r="D425" s="299">
        <v>1</v>
      </c>
      <c r="E425" s="299"/>
      <c r="F425" s="299">
        <v>1</v>
      </c>
      <c r="G425" s="299"/>
      <c r="H425" s="299">
        <v>1</v>
      </c>
      <c r="I425" s="300" t="s">
        <v>161</v>
      </c>
      <c r="J425" s="301">
        <v>1967</v>
      </c>
      <c r="K425" s="301"/>
      <c r="L425" s="301">
        <v>1</v>
      </c>
      <c r="M425" s="301"/>
      <c r="N425" s="8"/>
    </row>
    <row r="426" spans="1:14" ht="15" customHeight="1">
      <c r="A426" s="334"/>
      <c r="B426" s="320"/>
      <c r="C426" s="332"/>
      <c r="D426" s="91">
        <v>1</v>
      </c>
      <c r="E426" s="91"/>
      <c r="F426" s="91">
        <v>1</v>
      </c>
      <c r="G426" s="91"/>
      <c r="H426" s="296">
        <v>1</v>
      </c>
      <c r="I426" s="296" t="s">
        <v>169</v>
      </c>
      <c r="J426" s="296">
        <v>1957</v>
      </c>
      <c r="K426" s="296"/>
      <c r="L426" s="301">
        <v>1</v>
      </c>
      <c r="M426" s="301"/>
      <c r="N426" s="8"/>
    </row>
    <row r="427" spans="1:14" ht="15" customHeight="1">
      <c r="A427" s="334"/>
      <c r="B427" s="320"/>
      <c r="C427" s="332"/>
      <c r="D427" s="91">
        <v>1</v>
      </c>
      <c r="E427" s="91"/>
      <c r="F427" s="91">
        <v>1</v>
      </c>
      <c r="G427" s="91"/>
      <c r="H427" s="296">
        <v>1</v>
      </c>
      <c r="I427" s="296" t="s">
        <v>161</v>
      </c>
      <c r="J427" s="296">
        <v>1979</v>
      </c>
      <c r="K427" s="296"/>
      <c r="L427" s="301">
        <v>1</v>
      </c>
      <c r="M427" s="301"/>
      <c r="N427" s="8"/>
    </row>
    <row r="428" spans="1:14" ht="15" customHeight="1">
      <c r="A428" s="371" t="s">
        <v>112</v>
      </c>
      <c r="B428" s="371"/>
      <c r="C428" s="21"/>
      <c r="D428" s="21">
        <f>SUM(D322:D427)</f>
        <v>106</v>
      </c>
      <c r="E428" s="21">
        <f>SUM(E322:E427)</f>
        <v>7</v>
      </c>
      <c r="F428" s="21">
        <f>SUM(F322:F427)</f>
        <v>99</v>
      </c>
      <c r="G428" s="21">
        <f>SUM(G322:G427)</f>
        <v>13</v>
      </c>
      <c r="H428" s="21">
        <f>SUM(H322:H427)</f>
        <v>93</v>
      </c>
      <c r="I428" s="77"/>
      <c r="J428" s="21"/>
      <c r="K428" s="21"/>
      <c r="L428" s="21">
        <f>SUM(L322:L427)</f>
        <v>106</v>
      </c>
      <c r="M428" s="78">
        <v>2536</v>
      </c>
      <c r="N428" s="79"/>
    </row>
    <row r="429" ht="30" customHeight="1"/>
    <row r="430" spans="1:2" ht="30.75" customHeight="1">
      <c r="A430" s="372" t="s">
        <v>148</v>
      </c>
      <c r="B430" s="373"/>
    </row>
    <row r="431" spans="1:2" ht="15">
      <c r="A431" s="9" t="s">
        <v>128</v>
      </c>
      <c r="B431" s="10" t="s">
        <v>86</v>
      </c>
    </row>
    <row r="432" spans="1:2" ht="30">
      <c r="A432" s="9" t="s">
        <v>129</v>
      </c>
      <c r="B432" s="75" t="s">
        <v>178</v>
      </c>
    </row>
    <row r="433" spans="1:2" ht="15">
      <c r="A433" s="9" t="s">
        <v>179</v>
      </c>
      <c r="B433" s="10">
        <v>25</v>
      </c>
    </row>
    <row r="434" spans="1:2" ht="15">
      <c r="A434" s="81" t="s">
        <v>180</v>
      </c>
      <c r="B434" s="10" t="s">
        <v>130</v>
      </c>
    </row>
    <row r="435" spans="1:2" ht="15.75">
      <c r="A435" s="23" t="s">
        <v>131</v>
      </c>
      <c r="B435" s="24">
        <v>2500</v>
      </c>
    </row>
  </sheetData>
  <autoFilter ref="L130:L194"/>
  <mergeCells count="32">
    <mergeCell ref="A182:B182"/>
    <mergeCell ref="A187:B187"/>
    <mergeCell ref="A188:B188"/>
    <mergeCell ref="A265:N265"/>
    <mergeCell ref="A263:B263"/>
    <mergeCell ref="A264:B264"/>
    <mergeCell ref="A116:B116"/>
    <mergeCell ref="A137:B137"/>
    <mergeCell ref="A146:B146"/>
    <mergeCell ref="A181:B181"/>
    <mergeCell ref="A106:B106"/>
    <mergeCell ref="A115:B115"/>
    <mergeCell ref="A138:B138"/>
    <mergeCell ref="A145:B145"/>
    <mergeCell ref="A1:M1"/>
    <mergeCell ref="A2:N2"/>
    <mergeCell ref="A3:B3"/>
    <mergeCell ref="A14:B14"/>
    <mergeCell ref="A15:B15"/>
    <mergeCell ref="A105:B105"/>
    <mergeCell ref="A90:B90"/>
    <mergeCell ref="A91:B91"/>
    <mergeCell ref="A267:B267"/>
    <mergeCell ref="A266:N266"/>
    <mergeCell ref="A296:B296"/>
    <mergeCell ref="A295:B295"/>
    <mergeCell ref="A428:B428"/>
    <mergeCell ref="A430:B430"/>
    <mergeCell ref="A317:B317"/>
    <mergeCell ref="A318:B318"/>
    <mergeCell ref="A319:N319"/>
    <mergeCell ref="A320:M320"/>
  </mergeCells>
  <printOptions/>
  <pageMargins left="0.1968503937007874" right="0.1968503937007874" top="0.1968503937007874" bottom="0.1968503937007874" header="0.5118110236220472" footer="0.5118110236220472"/>
  <pageSetup horizontalDpi="600" verticalDpi="600" orientation="landscape" paperSize="9" scale="70" r:id="rId2"/>
  <legacyDrawing r:id="rId1"/>
</worksheet>
</file>

<file path=xl/worksheets/sheet3.xml><?xml version="1.0" encoding="utf-8"?>
<worksheet xmlns="http://schemas.openxmlformats.org/spreadsheetml/2006/main" xmlns:r="http://schemas.openxmlformats.org/officeDocument/2006/relationships">
  <sheetPr codeName="Foglio18">
    <tabColor indexed="57"/>
  </sheetPr>
  <dimension ref="A1:N145"/>
  <sheetViews>
    <sheetView workbookViewId="0" topLeftCell="A49">
      <selection activeCell="A61" sqref="A61:B61"/>
    </sheetView>
  </sheetViews>
  <sheetFormatPr defaultColWidth="9.140625" defaultRowHeight="12.75"/>
  <cols>
    <col min="1" max="1" width="20.7109375" style="80" customWidth="1"/>
    <col min="2" max="2" width="20.7109375" style="44" customWidth="1"/>
    <col min="3" max="3" width="20.7109375" style="248" customWidth="1"/>
    <col min="4" max="4" width="7.7109375" style="44" customWidth="1"/>
    <col min="5" max="6" width="5.7109375" style="44" customWidth="1"/>
    <col min="7" max="8" width="9.7109375" style="44" customWidth="1"/>
    <col min="9" max="9" width="13.7109375" style="249" customWidth="1"/>
    <col min="10" max="10" width="10.140625" style="250" customWidth="1"/>
    <col min="11" max="11" width="22.7109375" style="87" customWidth="1"/>
    <col min="12" max="12" width="15.7109375" style="44" customWidth="1"/>
    <col min="13" max="13" width="27.7109375" style="44" customWidth="1"/>
    <col min="14" max="14" width="14.28125" style="44" customWidth="1"/>
    <col min="15" max="16384" width="9.140625" style="44" customWidth="1"/>
  </cols>
  <sheetData>
    <row r="1" spans="1:12" s="56" customFormat="1" ht="30" customHeight="1">
      <c r="A1" s="376" t="s">
        <v>54</v>
      </c>
      <c r="B1" s="376"/>
      <c r="C1" s="376"/>
      <c r="D1" s="376"/>
      <c r="E1" s="376"/>
      <c r="F1" s="376"/>
      <c r="G1" s="376"/>
      <c r="H1" s="376"/>
      <c r="I1" s="376"/>
      <c r="J1" s="376"/>
      <c r="K1" s="376"/>
      <c r="L1" s="376"/>
    </row>
    <row r="2" spans="1:12" ht="51" customHeight="1">
      <c r="A2" s="377" t="s">
        <v>57</v>
      </c>
      <c r="B2" s="377"/>
      <c r="C2" s="377"/>
      <c r="D2" s="377"/>
      <c r="E2" s="377"/>
      <c r="F2" s="377"/>
      <c r="G2" s="377"/>
      <c r="H2" s="377"/>
      <c r="I2" s="377"/>
      <c r="J2" s="377"/>
      <c r="K2" s="377"/>
      <c r="L2" s="377"/>
    </row>
    <row r="3" spans="1:12" ht="30" customHeight="1">
      <c r="A3" s="312" t="s">
        <v>77</v>
      </c>
      <c r="B3" s="312"/>
      <c r="C3" s="226"/>
      <c r="D3" s="49"/>
      <c r="E3" s="50"/>
      <c r="F3" s="50"/>
      <c r="G3" s="50"/>
      <c r="H3" s="50"/>
      <c r="I3" s="50"/>
      <c r="J3" s="227"/>
      <c r="K3" s="51"/>
      <c r="L3" s="52"/>
    </row>
    <row r="4" spans="1:12" ht="30" customHeight="1">
      <c r="A4" s="52" t="s">
        <v>35</v>
      </c>
      <c r="B4" s="52" t="s">
        <v>1</v>
      </c>
      <c r="C4" s="52" t="s">
        <v>3</v>
      </c>
      <c r="D4" s="51" t="s">
        <v>120</v>
      </c>
      <c r="E4" s="52" t="s">
        <v>90</v>
      </c>
      <c r="F4" s="52" t="s">
        <v>91</v>
      </c>
      <c r="G4" s="52" t="s">
        <v>140</v>
      </c>
      <c r="H4" s="52" t="s">
        <v>127</v>
      </c>
      <c r="I4" s="52" t="s">
        <v>159</v>
      </c>
      <c r="J4" s="228" t="s">
        <v>119</v>
      </c>
      <c r="K4" s="52" t="s">
        <v>21</v>
      </c>
      <c r="L4" s="52" t="s">
        <v>22</v>
      </c>
    </row>
    <row r="5" spans="1:12" ht="15" customHeight="1">
      <c r="A5" s="350"/>
      <c r="B5" s="350"/>
      <c r="C5" s="324"/>
      <c r="D5" s="95">
        <v>1</v>
      </c>
      <c r="E5" s="169">
        <v>1</v>
      </c>
      <c r="F5" s="169"/>
      <c r="G5" s="169">
        <v>1</v>
      </c>
      <c r="H5" s="46"/>
      <c r="I5" s="46"/>
      <c r="J5" s="137">
        <v>1939</v>
      </c>
      <c r="K5" s="65" t="s">
        <v>134</v>
      </c>
      <c r="L5" s="217">
        <v>790</v>
      </c>
    </row>
    <row r="6" spans="1:12" ht="15" customHeight="1">
      <c r="A6" s="350"/>
      <c r="B6" s="350"/>
      <c r="C6" s="324"/>
      <c r="D6" s="95">
        <v>1</v>
      </c>
      <c r="E6" s="169">
        <v>1</v>
      </c>
      <c r="F6" s="169"/>
      <c r="G6" s="169">
        <v>1</v>
      </c>
      <c r="H6" s="46"/>
      <c r="I6" s="46"/>
      <c r="J6" s="137">
        <v>1941</v>
      </c>
      <c r="K6" s="65" t="s">
        <v>24</v>
      </c>
      <c r="L6" s="217">
        <v>1214.14</v>
      </c>
    </row>
    <row r="7" spans="1:12" ht="15" customHeight="1">
      <c r="A7" s="350"/>
      <c r="B7" s="350"/>
      <c r="C7" s="324"/>
      <c r="D7" s="95">
        <v>1</v>
      </c>
      <c r="E7" s="169">
        <v>1</v>
      </c>
      <c r="F7" s="169"/>
      <c r="G7" s="169">
        <v>1</v>
      </c>
      <c r="H7" s="46"/>
      <c r="I7" s="46"/>
      <c r="J7" s="137">
        <v>1941</v>
      </c>
      <c r="K7" s="65" t="s">
        <v>25</v>
      </c>
      <c r="L7" s="217">
        <v>1564</v>
      </c>
    </row>
    <row r="8" spans="1:12" ht="15" customHeight="1">
      <c r="A8" s="350"/>
      <c r="B8" s="350"/>
      <c r="C8" s="324"/>
      <c r="D8" s="169">
        <v>1</v>
      </c>
      <c r="E8" s="229"/>
      <c r="F8" s="169">
        <v>1</v>
      </c>
      <c r="G8" s="169">
        <v>1</v>
      </c>
      <c r="H8" s="54"/>
      <c r="I8" s="54"/>
      <c r="J8" s="137">
        <v>1932</v>
      </c>
      <c r="K8" s="65" t="s">
        <v>25</v>
      </c>
      <c r="L8" s="217">
        <v>1196</v>
      </c>
    </row>
    <row r="9" spans="1:12" ht="15" customHeight="1">
      <c r="A9" s="351"/>
      <c r="B9" s="350"/>
      <c r="C9" s="324"/>
      <c r="D9" s="95">
        <v>1</v>
      </c>
      <c r="E9" s="169">
        <v>1</v>
      </c>
      <c r="F9" s="169"/>
      <c r="G9" s="169">
        <v>1</v>
      </c>
      <c r="H9" s="46"/>
      <c r="I9" s="46"/>
      <c r="J9" s="137">
        <v>1930</v>
      </c>
      <c r="K9" s="65" t="s">
        <v>25</v>
      </c>
      <c r="L9" s="217">
        <v>3542</v>
      </c>
    </row>
    <row r="10" spans="1:12" ht="15" customHeight="1">
      <c r="A10" s="374" t="s">
        <v>93</v>
      </c>
      <c r="B10" s="374"/>
      <c r="C10" s="230"/>
      <c r="D10" s="45">
        <f>SUM(D5:D9)</f>
        <v>5</v>
      </c>
      <c r="E10" s="45">
        <f>SUM(E5:E9)</f>
        <v>4</v>
      </c>
      <c r="F10" s="45">
        <f>SUM(F5:F9)</f>
        <v>1</v>
      </c>
      <c r="G10" s="45">
        <f>SUM(G5:G9)</f>
        <v>5</v>
      </c>
      <c r="H10" s="45">
        <f>SUM(H5:H9)</f>
        <v>0</v>
      </c>
      <c r="I10" s="231">
        <v>0</v>
      </c>
      <c r="J10" s="60"/>
      <c r="K10" s="231"/>
      <c r="L10" s="144">
        <v>8306.14</v>
      </c>
    </row>
    <row r="11" spans="1:12" ht="30" customHeight="1">
      <c r="A11" s="312" t="s">
        <v>78</v>
      </c>
      <c r="B11" s="312"/>
      <c r="C11" s="226"/>
      <c r="D11" s="49"/>
      <c r="E11" s="50"/>
      <c r="F11" s="50"/>
      <c r="G11" s="50"/>
      <c r="H11" s="50"/>
      <c r="I11" s="50"/>
      <c r="J11" s="227"/>
      <c r="K11" s="51"/>
      <c r="L11" s="52"/>
    </row>
    <row r="12" spans="1:12" ht="30" customHeight="1">
      <c r="A12" s="52" t="s">
        <v>35</v>
      </c>
      <c r="B12" s="52" t="s">
        <v>1</v>
      </c>
      <c r="C12" s="52" t="s">
        <v>3</v>
      </c>
      <c r="D12" s="51" t="s">
        <v>120</v>
      </c>
      <c r="E12" s="52" t="s">
        <v>90</v>
      </c>
      <c r="F12" s="52" t="s">
        <v>91</v>
      </c>
      <c r="G12" s="52" t="s">
        <v>140</v>
      </c>
      <c r="H12" s="52" t="s">
        <v>127</v>
      </c>
      <c r="I12" s="52" t="s">
        <v>159</v>
      </c>
      <c r="J12" s="228" t="s">
        <v>119</v>
      </c>
      <c r="K12" s="52" t="s">
        <v>21</v>
      </c>
      <c r="L12" s="52" t="s">
        <v>22</v>
      </c>
    </row>
    <row r="13" spans="1:12" ht="15" customHeight="1">
      <c r="A13" s="350"/>
      <c r="B13" s="350"/>
      <c r="C13" s="324"/>
      <c r="D13" s="95">
        <v>1</v>
      </c>
      <c r="E13" s="169"/>
      <c r="F13" s="169">
        <v>1</v>
      </c>
      <c r="G13" s="169">
        <v>1</v>
      </c>
      <c r="H13" s="46"/>
      <c r="I13" s="46"/>
      <c r="J13" s="137">
        <v>1923</v>
      </c>
      <c r="K13" s="65" t="s">
        <v>23</v>
      </c>
      <c r="L13" s="217">
        <v>540</v>
      </c>
    </row>
    <row r="14" spans="1:12" ht="15" customHeight="1">
      <c r="A14" s="350"/>
      <c r="B14" s="350"/>
      <c r="C14" s="324"/>
      <c r="D14" s="95">
        <v>1</v>
      </c>
      <c r="E14" s="169">
        <v>1</v>
      </c>
      <c r="F14" s="169"/>
      <c r="G14" s="169">
        <v>1</v>
      </c>
      <c r="H14" s="46"/>
      <c r="I14" s="46"/>
      <c r="J14" s="137">
        <v>1922</v>
      </c>
      <c r="K14" s="65" t="s">
        <v>53</v>
      </c>
      <c r="L14" s="217">
        <v>2852</v>
      </c>
    </row>
    <row r="15" spans="1:12" ht="15" customHeight="1">
      <c r="A15" s="350"/>
      <c r="B15" s="350"/>
      <c r="C15" s="324"/>
      <c r="D15" s="95">
        <v>1</v>
      </c>
      <c r="E15" s="169"/>
      <c r="F15" s="169">
        <v>1</v>
      </c>
      <c r="G15" s="169">
        <v>1</v>
      </c>
      <c r="H15" s="46"/>
      <c r="I15" s="46"/>
      <c r="J15" s="137">
        <v>1967</v>
      </c>
      <c r="K15" s="65" t="s">
        <v>48</v>
      </c>
      <c r="L15" s="217">
        <v>5000</v>
      </c>
    </row>
    <row r="16" spans="1:12" ht="15" customHeight="1">
      <c r="A16" s="350"/>
      <c r="B16" s="350"/>
      <c r="C16" s="324"/>
      <c r="D16" s="95">
        <v>1</v>
      </c>
      <c r="E16" s="169"/>
      <c r="F16" s="169">
        <v>1</v>
      </c>
      <c r="G16" s="169">
        <v>1</v>
      </c>
      <c r="H16" s="46"/>
      <c r="I16" s="46"/>
      <c r="J16" s="137">
        <v>1924</v>
      </c>
      <c r="K16" s="65" t="s">
        <v>24</v>
      </c>
      <c r="L16" s="217">
        <v>2000</v>
      </c>
    </row>
    <row r="17" spans="1:12" ht="15" customHeight="1">
      <c r="A17" s="350"/>
      <c r="B17" s="350"/>
      <c r="C17" s="324"/>
      <c r="D17" s="95">
        <v>1</v>
      </c>
      <c r="E17" s="169">
        <v>1</v>
      </c>
      <c r="F17" s="169"/>
      <c r="G17" s="169">
        <v>1</v>
      </c>
      <c r="H17" s="54"/>
      <c r="I17" s="54"/>
      <c r="J17" s="137">
        <v>1932</v>
      </c>
      <c r="K17" s="65" t="s">
        <v>134</v>
      </c>
      <c r="L17" s="217">
        <v>3555</v>
      </c>
    </row>
    <row r="18" spans="1:12" ht="15" customHeight="1">
      <c r="A18" s="350"/>
      <c r="B18" s="350"/>
      <c r="C18" s="324"/>
      <c r="D18" s="95">
        <v>1</v>
      </c>
      <c r="E18" s="169"/>
      <c r="F18" s="169">
        <v>1</v>
      </c>
      <c r="G18" s="169">
        <v>1</v>
      </c>
      <c r="H18" s="54"/>
      <c r="I18" s="54"/>
      <c r="J18" s="137">
        <v>1923</v>
      </c>
      <c r="K18" s="65" t="s">
        <v>49</v>
      </c>
      <c r="L18" s="217">
        <v>3652</v>
      </c>
    </row>
    <row r="19" spans="1:12" ht="15" customHeight="1">
      <c r="A19" s="350"/>
      <c r="B19" s="350"/>
      <c r="C19" s="324"/>
      <c r="D19" s="95">
        <v>1</v>
      </c>
      <c r="E19" s="169">
        <v>1</v>
      </c>
      <c r="F19" s="169"/>
      <c r="G19" s="169">
        <v>1</v>
      </c>
      <c r="H19" s="54"/>
      <c r="I19" s="54"/>
      <c r="J19" s="137">
        <v>1935</v>
      </c>
      <c r="K19" s="65" t="s">
        <v>24</v>
      </c>
      <c r="L19" s="217">
        <v>3000</v>
      </c>
    </row>
    <row r="20" spans="1:12" ht="15" customHeight="1">
      <c r="A20" s="350"/>
      <c r="B20" s="350"/>
      <c r="C20" s="324"/>
      <c r="D20" s="95">
        <v>1</v>
      </c>
      <c r="E20" s="169"/>
      <c r="F20" s="169">
        <v>1</v>
      </c>
      <c r="G20" s="169">
        <v>1</v>
      </c>
      <c r="H20" s="54"/>
      <c r="I20" s="54"/>
      <c r="J20" s="137">
        <v>1952</v>
      </c>
      <c r="K20" s="65" t="s">
        <v>48</v>
      </c>
      <c r="L20" s="217">
        <v>5000</v>
      </c>
    </row>
    <row r="21" spans="1:12" ht="15" customHeight="1">
      <c r="A21" s="350"/>
      <c r="B21" s="350"/>
      <c r="C21" s="324"/>
      <c r="D21" s="95">
        <v>1</v>
      </c>
      <c r="E21" s="169">
        <v>1</v>
      </c>
      <c r="F21" s="169"/>
      <c r="G21" s="169">
        <v>1</v>
      </c>
      <c r="H21" s="54"/>
      <c r="I21" s="54"/>
      <c r="J21" s="137">
        <v>1927</v>
      </c>
      <c r="K21" s="65" t="s">
        <v>24</v>
      </c>
      <c r="L21" s="217">
        <v>2000</v>
      </c>
    </row>
    <row r="22" spans="1:12" ht="15" customHeight="1">
      <c r="A22" s="350"/>
      <c r="B22" s="350"/>
      <c r="C22" s="324"/>
      <c r="D22" s="95">
        <v>1</v>
      </c>
      <c r="E22" s="169">
        <v>1</v>
      </c>
      <c r="F22" s="169"/>
      <c r="G22" s="169">
        <v>1</v>
      </c>
      <c r="H22" s="54"/>
      <c r="I22" s="54"/>
      <c r="J22" s="137">
        <v>1927</v>
      </c>
      <c r="K22" s="65" t="s">
        <v>134</v>
      </c>
      <c r="L22" s="217">
        <v>1224.5</v>
      </c>
    </row>
    <row r="23" spans="1:12" ht="15" customHeight="1">
      <c r="A23" s="350"/>
      <c r="B23" s="350"/>
      <c r="C23" s="324"/>
      <c r="D23" s="95">
        <v>1</v>
      </c>
      <c r="E23" s="169">
        <v>1</v>
      </c>
      <c r="F23" s="169"/>
      <c r="G23" s="169">
        <v>1</v>
      </c>
      <c r="H23" s="54"/>
      <c r="I23" s="54"/>
      <c r="J23" s="137">
        <v>1992</v>
      </c>
      <c r="K23" s="65" t="s">
        <v>134</v>
      </c>
      <c r="L23" s="217">
        <v>7482.2</v>
      </c>
    </row>
    <row r="24" spans="1:12" ht="15" customHeight="1">
      <c r="A24" s="350"/>
      <c r="B24" s="350"/>
      <c r="C24" s="324"/>
      <c r="D24" s="95">
        <v>1</v>
      </c>
      <c r="E24" s="169"/>
      <c r="F24" s="169">
        <v>1</v>
      </c>
      <c r="G24" s="169">
        <v>1</v>
      </c>
      <c r="H24" s="54"/>
      <c r="I24" s="54"/>
      <c r="J24" s="137">
        <v>1932</v>
      </c>
      <c r="K24" s="65" t="s">
        <v>51</v>
      </c>
      <c r="L24" s="217">
        <v>476</v>
      </c>
    </row>
    <row r="25" spans="1:12" ht="15" customHeight="1">
      <c r="A25" s="350"/>
      <c r="B25" s="350"/>
      <c r="C25" s="324"/>
      <c r="D25" s="95">
        <v>1</v>
      </c>
      <c r="E25" s="169">
        <v>1</v>
      </c>
      <c r="F25" s="169"/>
      <c r="G25" s="169">
        <v>1</v>
      </c>
      <c r="H25" s="54"/>
      <c r="I25" s="54"/>
      <c r="J25" s="137">
        <v>1949</v>
      </c>
      <c r="K25" s="65" t="s">
        <v>49</v>
      </c>
      <c r="L25" s="217">
        <v>3502.06</v>
      </c>
    </row>
    <row r="26" spans="1:12" ht="15" customHeight="1">
      <c r="A26" s="350"/>
      <c r="B26" s="350"/>
      <c r="C26" s="324"/>
      <c r="D26" s="95">
        <v>1</v>
      </c>
      <c r="E26" s="169"/>
      <c r="F26" s="169">
        <v>1</v>
      </c>
      <c r="G26" s="169">
        <v>1</v>
      </c>
      <c r="H26" s="54"/>
      <c r="I26" s="54"/>
      <c r="J26" s="137">
        <v>1934</v>
      </c>
      <c r="K26" s="65" t="s">
        <v>50</v>
      </c>
      <c r="L26" s="217">
        <v>1812.5</v>
      </c>
    </row>
    <row r="27" spans="1:12" ht="15" customHeight="1">
      <c r="A27" s="350"/>
      <c r="B27" s="350"/>
      <c r="C27" s="324"/>
      <c r="D27" s="95">
        <v>1</v>
      </c>
      <c r="E27" s="169"/>
      <c r="F27" s="169">
        <v>1</v>
      </c>
      <c r="G27" s="169">
        <v>1</v>
      </c>
      <c r="H27" s="54"/>
      <c r="I27" s="54"/>
      <c r="J27" s="137">
        <v>1966</v>
      </c>
      <c r="K27" s="65" t="s">
        <v>49</v>
      </c>
      <c r="L27" s="217">
        <v>4647.23</v>
      </c>
    </row>
    <row r="28" spans="1:12" ht="15" customHeight="1">
      <c r="A28" s="350"/>
      <c r="B28" s="350"/>
      <c r="C28" s="324"/>
      <c r="D28" s="95">
        <v>1</v>
      </c>
      <c r="E28" s="232">
        <v>1</v>
      </c>
      <c r="F28" s="233"/>
      <c r="G28" s="169">
        <v>1</v>
      </c>
      <c r="H28" s="59"/>
      <c r="I28" s="59"/>
      <c r="J28" s="137">
        <v>1991</v>
      </c>
      <c r="K28" s="65" t="s">
        <v>49</v>
      </c>
      <c r="L28" s="217">
        <v>5136.53</v>
      </c>
    </row>
    <row r="29" spans="1:12" ht="15" customHeight="1">
      <c r="A29" s="350"/>
      <c r="B29" s="350"/>
      <c r="C29" s="324"/>
      <c r="D29" s="95">
        <v>1</v>
      </c>
      <c r="E29" s="233"/>
      <c r="F29" s="232">
        <v>1</v>
      </c>
      <c r="G29" s="169">
        <v>1</v>
      </c>
      <c r="H29" s="59"/>
      <c r="I29" s="59"/>
      <c r="J29" s="137">
        <v>1923</v>
      </c>
      <c r="K29" s="65" t="s">
        <v>24</v>
      </c>
      <c r="L29" s="217">
        <v>3500</v>
      </c>
    </row>
    <row r="30" spans="1:12" ht="15" customHeight="1">
      <c r="A30" s="350"/>
      <c r="B30" s="350"/>
      <c r="C30" s="324"/>
      <c r="D30" s="95">
        <v>1</v>
      </c>
      <c r="E30" s="96"/>
      <c r="F30" s="96">
        <v>1</v>
      </c>
      <c r="G30" s="169">
        <v>1</v>
      </c>
      <c r="H30" s="141"/>
      <c r="I30" s="234"/>
      <c r="J30" s="137">
        <v>1925</v>
      </c>
      <c r="K30" s="65" t="s">
        <v>49</v>
      </c>
      <c r="L30" s="217">
        <v>2486.88</v>
      </c>
    </row>
    <row r="31" spans="1:12" ht="15" customHeight="1">
      <c r="A31" s="350"/>
      <c r="B31" s="350"/>
      <c r="C31" s="324"/>
      <c r="D31" s="95">
        <v>1</v>
      </c>
      <c r="E31" s="184">
        <v>1</v>
      </c>
      <c r="F31" s="184"/>
      <c r="G31" s="169">
        <v>1</v>
      </c>
      <c r="H31" s="235"/>
      <c r="I31" s="235"/>
      <c r="J31" s="137">
        <v>1936</v>
      </c>
      <c r="K31" s="65" t="s">
        <v>51</v>
      </c>
      <c r="L31" s="217">
        <v>0</v>
      </c>
    </row>
    <row r="32" spans="1:12" ht="15" customHeight="1">
      <c r="A32" s="350"/>
      <c r="B32" s="350"/>
      <c r="C32" s="324"/>
      <c r="D32" s="95">
        <v>1</v>
      </c>
      <c r="E32" s="169"/>
      <c r="F32" s="169">
        <v>1</v>
      </c>
      <c r="G32" s="169">
        <v>1</v>
      </c>
      <c r="H32" s="46"/>
      <c r="I32" s="46"/>
      <c r="J32" s="137">
        <v>1936</v>
      </c>
      <c r="K32" s="65" t="s">
        <v>134</v>
      </c>
      <c r="L32" s="217">
        <v>620</v>
      </c>
    </row>
    <row r="33" spans="1:12" ht="15" customHeight="1">
      <c r="A33" s="350"/>
      <c r="B33" s="350"/>
      <c r="C33" s="324"/>
      <c r="D33" s="95">
        <v>1</v>
      </c>
      <c r="E33" s="169">
        <v>1</v>
      </c>
      <c r="F33" s="169"/>
      <c r="G33" s="169">
        <v>1</v>
      </c>
      <c r="H33" s="46"/>
      <c r="I33" s="46"/>
      <c r="J33" s="137">
        <v>1929</v>
      </c>
      <c r="K33" s="65" t="s">
        <v>134</v>
      </c>
      <c r="L33" s="217">
        <v>0</v>
      </c>
    </row>
    <row r="34" spans="1:12" ht="15" customHeight="1">
      <c r="A34" s="350"/>
      <c r="B34" s="350"/>
      <c r="C34" s="324"/>
      <c r="D34" s="95">
        <v>1</v>
      </c>
      <c r="E34" s="169"/>
      <c r="F34" s="169">
        <v>1</v>
      </c>
      <c r="G34" s="169">
        <v>1</v>
      </c>
      <c r="H34" s="46"/>
      <c r="I34" s="46"/>
      <c r="J34" s="137">
        <v>1923</v>
      </c>
      <c r="K34" s="65" t="s">
        <v>24</v>
      </c>
      <c r="L34" s="217">
        <v>3500</v>
      </c>
    </row>
    <row r="35" spans="1:12" ht="15" customHeight="1">
      <c r="A35" s="350"/>
      <c r="B35" s="350"/>
      <c r="C35" s="324"/>
      <c r="D35" s="95">
        <v>1</v>
      </c>
      <c r="E35" s="169"/>
      <c r="F35" s="169">
        <v>1</v>
      </c>
      <c r="G35" s="169">
        <v>1</v>
      </c>
      <c r="H35" s="46"/>
      <c r="I35" s="46"/>
      <c r="J35" s="137">
        <v>2005</v>
      </c>
      <c r="K35" s="65" t="s">
        <v>24</v>
      </c>
      <c r="L35" s="217">
        <v>5000</v>
      </c>
    </row>
    <row r="36" spans="1:12" ht="15" customHeight="1">
      <c r="A36" s="350"/>
      <c r="B36" s="350"/>
      <c r="C36" s="324"/>
      <c r="D36" s="95">
        <v>1</v>
      </c>
      <c r="E36" s="169"/>
      <c r="F36" s="169">
        <v>1</v>
      </c>
      <c r="G36" s="169">
        <v>1</v>
      </c>
      <c r="H36" s="46"/>
      <c r="I36" s="46"/>
      <c r="J36" s="137">
        <v>1925</v>
      </c>
      <c r="K36" s="65" t="s">
        <v>24</v>
      </c>
      <c r="L36" s="217">
        <v>1750</v>
      </c>
    </row>
    <row r="37" spans="1:12" ht="15" customHeight="1">
      <c r="A37" s="350"/>
      <c r="B37" s="350"/>
      <c r="C37" s="324"/>
      <c r="D37" s="95">
        <v>1</v>
      </c>
      <c r="E37" s="169">
        <v>1</v>
      </c>
      <c r="F37" s="169"/>
      <c r="G37" s="169">
        <v>1</v>
      </c>
      <c r="H37" s="54"/>
      <c r="I37" s="54"/>
      <c r="J37" s="137">
        <v>1994</v>
      </c>
      <c r="K37" s="65" t="s">
        <v>52</v>
      </c>
      <c r="L37" s="217">
        <v>5818.34</v>
      </c>
    </row>
    <row r="38" spans="1:12" ht="15" customHeight="1">
      <c r="A38" s="350"/>
      <c r="B38" s="350"/>
      <c r="C38" s="324"/>
      <c r="D38" s="95">
        <v>1</v>
      </c>
      <c r="E38" s="169"/>
      <c r="F38" s="169">
        <v>1</v>
      </c>
      <c r="G38" s="169">
        <v>1</v>
      </c>
      <c r="H38" s="54"/>
      <c r="I38" s="54"/>
      <c r="J38" s="137">
        <v>1934</v>
      </c>
      <c r="K38" s="65" t="s">
        <v>24</v>
      </c>
      <c r="L38" s="217">
        <v>1400</v>
      </c>
    </row>
    <row r="39" spans="1:12" ht="15" customHeight="1">
      <c r="A39" s="350"/>
      <c r="B39" s="350"/>
      <c r="C39" s="324"/>
      <c r="D39" s="95">
        <v>1</v>
      </c>
      <c r="E39" s="169">
        <v>1</v>
      </c>
      <c r="F39" s="169"/>
      <c r="G39" s="169">
        <v>1</v>
      </c>
      <c r="H39" s="54"/>
      <c r="I39" s="54"/>
      <c r="J39" s="137">
        <v>1961</v>
      </c>
      <c r="K39" s="65" t="s">
        <v>49</v>
      </c>
      <c r="L39" s="217">
        <v>5728.47</v>
      </c>
    </row>
    <row r="40" spans="1:12" ht="15" customHeight="1">
      <c r="A40" s="350"/>
      <c r="B40" s="350"/>
      <c r="C40" s="324"/>
      <c r="D40" s="95">
        <v>1</v>
      </c>
      <c r="E40" s="169">
        <v>1</v>
      </c>
      <c r="F40" s="169"/>
      <c r="G40" s="169">
        <v>1</v>
      </c>
      <c r="H40" s="54"/>
      <c r="I40" s="54"/>
      <c r="J40" s="137">
        <v>1986</v>
      </c>
      <c r="K40" s="65" t="s">
        <v>49</v>
      </c>
      <c r="L40" s="217">
        <v>1691.18</v>
      </c>
    </row>
    <row r="41" spans="1:12" ht="15" customHeight="1">
      <c r="A41" s="350"/>
      <c r="B41" s="350"/>
      <c r="C41" s="324"/>
      <c r="D41" s="95">
        <v>1</v>
      </c>
      <c r="E41" s="169">
        <v>1</v>
      </c>
      <c r="F41" s="169"/>
      <c r="G41" s="169">
        <v>1</v>
      </c>
      <c r="H41" s="54"/>
      <c r="I41" s="54"/>
      <c r="J41" s="137">
        <v>1925</v>
      </c>
      <c r="K41" s="65" t="s">
        <v>134</v>
      </c>
      <c r="L41" s="217">
        <v>0</v>
      </c>
    </row>
    <row r="42" spans="1:12" ht="15" customHeight="1">
      <c r="A42" s="350"/>
      <c r="B42" s="350"/>
      <c r="C42" s="324"/>
      <c r="D42" s="95">
        <v>1</v>
      </c>
      <c r="E42" s="169">
        <v>1</v>
      </c>
      <c r="F42" s="169"/>
      <c r="G42" s="169">
        <v>1</v>
      </c>
      <c r="H42" s="54"/>
      <c r="I42" s="54"/>
      <c r="J42" s="137">
        <v>1923</v>
      </c>
      <c r="K42" s="65" t="s">
        <v>24</v>
      </c>
      <c r="L42" s="217">
        <v>0</v>
      </c>
    </row>
    <row r="43" spans="1:12" ht="15" customHeight="1">
      <c r="A43" s="350"/>
      <c r="B43" s="350"/>
      <c r="C43" s="324"/>
      <c r="D43" s="95">
        <v>1</v>
      </c>
      <c r="E43" s="169"/>
      <c r="F43" s="169">
        <v>1</v>
      </c>
      <c r="G43" s="169">
        <v>1</v>
      </c>
      <c r="H43" s="54"/>
      <c r="I43" s="54"/>
      <c r="J43" s="137">
        <v>1922</v>
      </c>
      <c r="K43" s="65" t="s">
        <v>53</v>
      </c>
      <c r="L43" s="217">
        <v>4152</v>
      </c>
    </row>
    <row r="44" spans="1:12" ht="15" customHeight="1">
      <c r="A44" s="350"/>
      <c r="B44" s="350"/>
      <c r="C44" s="324"/>
      <c r="D44" s="95">
        <v>1</v>
      </c>
      <c r="E44" s="169">
        <v>1</v>
      </c>
      <c r="F44" s="169"/>
      <c r="G44" s="169">
        <v>1</v>
      </c>
      <c r="H44" s="54"/>
      <c r="I44" s="54"/>
      <c r="J44" s="137">
        <v>1969</v>
      </c>
      <c r="K44" s="65" t="s">
        <v>49</v>
      </c>
      <c r="L44" s="217">
        <v>4999.36</v>
      </c>
    </row>
    <row r="45" spans="1:12" ht="15" customHeight="1">
      <c r="A45" s="350"/>
      <c r="B45" s="350"/>
      <c r="C45" s="324"/>
      <c r="D45" s="95">
        <v>1</v>
      </c>
      <c r="E45" s="169"/>
      <c r="F45" s="169">
        <v>1</v>
      </c>
      <c r="G45" s="169">
        <v>1</v>
      </c>
      <c r="H45" s="54"/>
      <c r="I45" s="54"/>
      <c r="J45" s="137">
        <v>1934</v>
      </c>
      <c r="K45" s="65" t="s">
        <v>49</v>
      </c>
      <c r="L45" s="217">
        <v>1426</v>
      </c>
    </row>
    <row r="46" spans="1:12" ht="15" customHeight="1">
      <c r="A46" s="350"/>
      <c r="B46" s="350"/>
      <c r="C46" s="324"/>
      <c r="D46" s="95">
        <v>1</v>
      </c>
      <c r="E46" s="169"/>
      <c r="F46" s="169">
        <v>1</v>
      </c>
      <c r="G46" s="169">
        <v>1</v>
      </c>
      <c r="H46" s="54"/>
      <c r="I46" s="54"/>
      <c r="J46" s="137">
        <v>1923</v>
      </c>
      <c r="K46" s="65" t="s">
        <v>49</v>
      </c>
      <c r="L46" s="217">
        <v>5520</v>
      </c>
    </row>
    <row r="47" spans="1:12" ht="15" customHeight="1">
      <c r="A47" s="350"/>
      <c r="B47" s="350"/>
      <c r="C47" s="324"/>
      <c r="D47" s="95">
        <v>1</v>
      </c>
      <c r="E47" s="169"/>
      <c r="F47" s="169">
        <v>1</v>
      </c>
      <c r="G47" s="169">
        <v>1</v>
      </c>
      <c r="H47" s="54"/>
      <c r="I47" s="54"/>
      <c r="J47" s="137">
        <v>1964</v>
      </c>
      <c r="K47" s="65" t="s">
        <v>53</v>
      </c>
      <c r="L47" s="217">
        <v>5136.56</v>
      </c>
    </row>
    <row r="48" spans="1:12" ht="15" customHeight="1">
      <c r="A48" s="350"/>
      <c r="B48" s="350"/>
      <c r="C48" s="324"/>
      <c r="D48" s="95">
        <v>1</v>
      </c>
      <c r="E48" s="233"/>
      <c r="F48" s="169">
        <v>1</v>
      </c>
      <c r="G48" s="169">
        <v>1</v>
      </c>
      <c r="H48" s="59"/>
      <c r="I48" s="59"/>
      <c r="J48" s="137">
        <v>1993</v>
      </c>
      <c r="K48" s="65" t="s">
        <v>52</v>
      </c>
      <c r="L48" s="217">
        <v>1748.67</v>
      </c>
    </row>
    <row r="49" spans="1:12" ht="15" customHeight="1">
      <c r="A49" s="350"/>
      <c r="B49" s="350"/>
      <c r="C49" s="324"/>
      <c r="D49" s="95">
        <v>1</v>
      </c>
      <c r="E49" s="233"/>
      <c r="F49" s="169">
        <v>1</v>
      </c>
      <c r="G49" s="169">
        <v>1</v>
      </c>
      <c r="H49" s="59"/>
      <c r="I49" s="59"/>
      <c r="J49" s="137">
        <v>1960</v>
      </c>
      <c r="K49" s="65" t="s">
        <v>134</v>
      </c>
      <c r="L49" s="217">
        <v>6044.4</v>
      </c>
    </row>
    <row r="50" spans="1:12" ht="15" customHeight="1">
      <c r="A50" s="350"/>
      <c r="B50" s="350"/>
      <c r="C50" s="324"/>
      <c r="D50" s="95">
        <v>1</v>
      </c>
      <c r="E50" s="147"/>
      <c r="F50" s="147">
        <v>1</v>
      </c>
      <c r="G50" s="169">
        <v>1</v>
      </c>
      <c r="H50" s="55"/>
      <c r="I50" s="158"/>
      <c r="J50" s="137">
        <v>1966</v>
      </c>
      <c r="K50" s="65" t="s">
        <v>53</v>
      </c>
      <c r="L50" s="217">
        <v>5238.75</v>
      </c>
    </row>
    <row r="51" spans="1:12" ht="15" customHeight="1">
      <c r="A51" s="350"/>
      <c r="B51" s="350"/>
      <c r="C51" s="324"/>
      <c r="D51" s="95">
        <v>1</v>
      </c>
      <c r="E51" s="147"/>
      <c r="F51" s="147">
        <v>1</v>
      </c>
      <c r="G51" s="169">
        <v>1</v>
      </c>
      <c r="H51" s="55"/>
      <c r="I51" s="158"/>
      <c r="J51" s="137">
        <v>1925</v>
      </c>
      <c r="K51" s="65" t="s">
        <v>24</v>
      </c>
      <c r="L51" s="217">
        <v>4500</v>
      </c>
    </row>
    <row r="52" spans="1:12" ht="15" customHeight="1">
      <c r="A52" s="350"/>
      <c r="B52" s="350"/>
      <c r="C52" s="324"/>
      <c r="D52" s="95">
        <v>1</v>
      </c>
      <c r="E52" s="147">
        <v>1</v>
      </c>
      <c r="F52" s="147"/>
      <c r="G52" s="169">
        <v>1</v>
      </c>
      <c r="H52" s="55"/>
      <c r="I52" s="158"/>
      <c r="J52" s="137">
        <v>1984</v>
      </c>
      <c r="K52" s="65" t="s">
        <v>49</v>
      </c>
      <c r="L52" s="217">
        <v>5397.99</v>
      </c>
    </row>
    <row r="53" spans="1:12" ht="15" customHeight="1">
      <c r="A53" s="350"/>
      <c r="B53" s="350"/>
      <c r="C53" s="324"/>
      <c r="D53" s="95">
        <v>1</v>
      </c>
      <c r="E53" s="147"/>
      <c r="F53" s="147">
        <v>1</v>
      </c>
      <c r="G53" s="169">
        <v>1</v>
      </c>
      <c r="H53" s="55"/>
      <c r="I53" s="158"/>
      <c r="J53" s="137">
        <v>1988</v>
      </c>
      <c r="K53" s="65" t="s">
        <v>53</v>
      </c>
      <c r="L53" s="217">
        <v>3776.67</v>
      </c>
    </row>
    <row r="54" spans="1:12" ht="15" customHeight="1">
      <c r="A54" s="350"/>
      <c r="B54" s="350"/>
      <c r="C54" s="324"/>
      <c r="D54" s="95">
        <v>1</v>
      </c>
      <c r="E54" s="147"/>
      <c r="F54" s="147">
        <v>1</v>
      </c>
      <c r="G54" s="169">
        <v>1</v>
      </c>
      <c r="H54" s="55"/>
      <c r="I54" s="158"/>
      <c r="J54" s="137">
        <v>1930</v>
      </c>
      <c r="K54" s="65" t="s">
        <v>24</v>
      </c>
      <c r="L54" s="217">
        <v>3600</v>
      </c>
    </row>
    <row r="55" spans="1:12" ht="15" customHeight="1">
      <c r="A55" s="350"/>
      <c r="B55" s="350"/>
      <c r="C55" s="324"/>
      <c r="D55" s="95">
        <v>1</v>
      </c>
      <c r="E55" s="147"/>
      <c r="F55" s="147">
        <v>1</v>
      </c>
      <c r="G55" s="169">
        <v>1</v>
      </c>
      <c r="H55" s="55"/>
      <c r="I55" s="158"/>
      <c r="J55" s="137">
        <v>1939</v>
      </c>
      <c r="K55" s="65" t="s">
        <v>24</v>
      </c>
      <c r="L55" s="217">
        <v>0</v>
      </c>
    </row>
    <row r="56" spans="1:12" ht="15" customHeight="1">
      <c r="A56" s="350"/>
      <c r="B56" s="350"/>
      <c r="C56" s="324"/>
      <c r="D56" s="95">
        <v>1</v>
      </c>
      <c r="E56" s="147"/>
      <c r="F56" s="147">
        <v>1</v>
      </c>
      <c r="G56" s="169">
        <v>1</v>
      </c>
      <c r="H56" s="55"/>
      <c r="I56" s="158"/>
      <c r="J56" s="137">
        <v>1935</v>
      </c>
      <c r="K56" s="65" t="s">
        <v>24</v>
      </c>
      <c r="L56" s="217">
        <v>3500</v>
      </c>
    </row>
    <row r="57" spans="1:12" ht="15" customHeight="1">
      <c r="A57" s="350"/>
      <c r="B57" s="350"/>
      <c r="C57" s="324"/>
      <c r="D57" s="95">
        <v>1</v>
      </c>
      <c r="E57" s="147"/>
      <c r="F57" s="147">
        <v>1</v>
      </c>
      <c r="G57" s="169">
        <v>1</v>
      </c>
      <c r="H57" s="55"/>
      <c r="I57" s="158"/>
      <c r="J57" s="137">
        <v>1910</v>
      </c>
      <c r="K57" s="65" t="s">
        <v>134</v>
      </c>
      <c r="L57" s="217">
        <v>2638.81</v>
      </c>
    </row>
    <row r="58" spans="1:12" ht="15" customHeight="1">
      <c r="A58" s="350"/>
      <c r="B58" s="350"/>
      <c r="C58" s="324"/>
      <c r="D58" s="95">
        <v>1</v>
      </c>
      <c r="E58" s="147">
        <v>1</v>
      </c>
      <c r="F58" s="147"/>
      <c r="G58" s="169">
        <v>1</v>
      </c>
      <c r="H58" s="55"/>
      <c r="I58" s="158"/>
      <c r="J58" s="137">
        <v>1994</v>
      </c>
      <c r="K58" s="65" t="s">
        <v>52</v>
      </c>
      <c r="L58" s="217">
        <v>5430.32</v>
      </c>
    </row>
    <row r="59" spans="1:12" ht="15" customHeight="1">
      <c r="A59" s="350"/>
      <c r="B59" s="350"/>
      <c r="C59" s="324"/>
      <c r="D59" s="95">
        <v>1</v>
      </c>
      <c r="E59" s="147"/>
      <c r="F59" s="147">
        <v>1</v>
      </c>
      <c r="G59" s="169">
        <v>1</v>
      </c>
      <c r="H59" s="55"/>
      <c r="I59" s="158"/>
      <c r="J59" s="137">
        <v>1941</v>
      </c>
      <c r="K59" s="65" t="s">
        <v>51</v>
      </c>
      <c r="L59" s="217">
        <v>2467.63</v>
      </c>
    </row>
    <row r="60" spans="1:12" ht="15" customHeight="1">
      <c r="A60" s="350"/>
      <c r="B60" s="350"/>
      <c r="C60" s="324"/>
      <c r="D60" s="95">
        <v>1</v>
      </c>
      <c r="E60" s="147"/>
      <c r="F60" s="147">
        <v>1</v>
      </c>
      <c r="G60" s="169">
        <v>1</v>
      </c>
      <c r="H60" s="55"/>
      <c r="I60" s="158"/>
      <c r="J60" s="137">
        <v>1941</v>
      </c>
      <c r="K60" s="65" t="s">
        <v>24</v>
      </c>
      <c r="L60" s="217">
        <v>2000</v>
      </c>
    </row>
    <row r="61" spans="1:12" ht="15">
      <c r="A61" s="374" t="s">
        <v>94</v>
      </c>
      <c r="B61" s="374"/>
      <c r="C61" s="236"/>
      <c r="D61" s="45">
        <f>SUM(D13:D60)</f>
        <v>48</v>
      </c>
      <c r="E61" s="45">
        <f>SUM(E13:E60)</f>
        <v>18</v>
      </c>
      <c r="F61" s="45">
        <f>SUM(F13:F60)</f>
        <v>30</v>
      </c>
      <c r="G61" s="45">
        <f>SUM(G13:G60)</f>
        <v>48</v>
      </c>
      <c r="H61" s="237"/>
      <c r="I61" s="238"/>
      <c r="J61" s="83"/>
      <c r="K61" s="239"/>
      <c r="L61" s="144">
        <f>SUM(L13:L60)</f>
        <v>150952.05</v>
      </c>
    </row>
    <row r="62" spans="1:12" ht="15.75">
      <c r="A62" s="312" t="s">
        <v>79</v>
      </c>
      <c r="B62" s="312"/>
      <c r="C62" s="226"/>
      <c r="D62" s="49"/>
      <c r="E62" s="50"/>
      <c r="F62" s="50"/>
      <c r="G62" s="50"/>
      <c r="H62" s="50"/>
      <c r="I62" s="50"/>
      <c r="J62" s="227"/>
      <c r="K62" s="51"/>
      <c r="L62" s="52"/>
    </row>
    <row r="63" spans="1:12" ht="30">
      <c r="A63" s="52" t="s">
        <v>35</v>
      </c>
      <c r="B63" s="52" t="s">
        <v>1</v>
      </c>
      <c r="C63" s="52" t="s">
        <v>3</v>
      </c>
      <c r="D63" s="51" t="s">
        <v>120</v>
      </c>
      <c r="E63" s="52" t="s">
        <v>90</v>
      </c>
      <c r="F63" s="52" t="s">
        <v>91</v>
      </c>
      <c r="G63" s="52" t="s">
        <v>140</v>
      </c>
      <c r="H63" s="52" t="s">
        <v>127</v>
      </c>
      <c r="I63" s="52" t="s">
        <v>159</v>
      </c>
      <c r="J63" s="228" t="s">
        <v>119</v>
      </c>
      <c r="K63" s="52" t="s">
        <v>21</v>
      </c>
      <c r="L63" s="52" t="s">
        <v>22</v>
      </c>
    </row>
    <row r="64" spans="1:12" ht="15">
      <c r="A64" s="350"/>
      <c r="B64" s="350"/>
      <c r="C64" s="324"/>
      <c r="D64" s="95">
        <v>1</v>
      </c>
      <c r="E64" s="95">
        <v>1</v>
      </c>
      <c r="F64" s="46"/>
      <c r="G64" s="95">
        <v>1</v>
      </c>
      <c r="H64" s="46"/>
      <c r="I64" s="46"/>
      <c r="J64" s="137">
        <v>1922</v>
      </c>
      <c r="K64" s="65" t="s">
        <v>134</v>
      </c>
      <c r="L64" s="217">
        <v>305.66</v>
      </c>
    </row>
    <row r="65" spans="1:12" ht="15">
      <c r="A65" s="350"/>
      <c r="B65" s="350"/>
      <c r="C65" s="324"/>
      <c r="D65" s="95">
        <v>1</v>
      </c>
      <c r="E65" s="95">
        <v>1</v>
      </c>
      <c r="F65" s="46"/>
      <c r="G65" s="95">
        <v>1</v>
      </c>
      <c r="H65" s="46"/>
      <c r="I65" s="46"/>
      <c r="J65" s="137">
        <v>1920</v>
      </c>
      <c r="K65" s="65" t="s">
        <v>24</v>
      </c>
      <c r="L65" s="217">
        <v>2500</v>
      </c>
    </row>
    <row r="66" spans="1:12" ht="15">
      <c r="A66" s="350"/>
      <c r="B66" s="350"/>
      <c r="C66" s="324"/>
      <c r="D66" s="95">
        <v>1</v>
      </c>
      <c r="E66" s="95">
        <v>1</v>
      </c>
      <c r="F66" s="46"/>
      <c r="G66" s="95">
        <v>1</v>
      </c>
      <c r="H66" s="46"/>
      <c r="I66" s="46"/>
      <c r="J66" s="137">
        <v>1946</v>
      </c>
      <c r="K66" s="65" t="s">
        <v>24</v>
      </c>
      <c r="L66" s="217">
        <v>2312.5</v>
      </c>
    </row>
    <row r="67" spans="1:14" ht="15">
      <c r="A67" s="350"/>
      <c r="B67" s="350"/>
      <c r="C67" s="324"/>
      <c r="D67" s="95">
        <v>1</v>
      </c>
      <c r="E67" s="46"/>
      <c r="F67" s="95">
        <v>1</v>
      </c>
      <c r="G67" s="95">
        <v>1</v>
      </c>
      <c r="H67" s="46"/>
      <c r="I67" s="46"/>
      <c r="J67" s="137">
        <v>1922</v>
      </c>
      <c r="K67" s="65" t="s">
        <v>134</v>
      </c>
      <c r="L67" s="217">
        <v>0</v>
      </c>
      <c r="N67" s="240"/>
    </row>
    <row r="68" spans="1:14" ht="15.75">
      <c r="A68" s="350"/>
      <c r="B68" s="350"/>
      <c r="C68" s="324"/>
      <c r="D68" s="95">
        <v>1</v>
      </c>
      <c r="E68" s="54"/>
      <c r="F68" s="95">
        <v>1</v>
      </c>
      <c r="G68" s="95">
        <v>1</v>
      </c>
      <c r="H68" s="54"/>
      <c r="I68" s="54"/>
      <c r="J68" s="137">
        <v>1924</v>
      </c>
      <c r="K68" s="65" t="s">
        <v>134</v>
      </c>
      <c r="L68" s="217">
        <v>564.2</v>
      </c>
      <c r="N68" s="240"/>
    </row>
    <row r="69" spans="1:14" ht="15.75">
      <c r="A69" s="350"/>
      <c r="B69" s="350"/>
      <c r="C69" s="324"/>
      <c r="D69" s="95">
        <v>1</v>
      </c>
      <c r="E69" s="46"/>
      <c r="F69" s="95">
        <v>1</v>
      </c>
      <c r="G69" s="95">
        <v>1</v>
      </c>
      <c r="H69" s="54"/>
      <c r="I69" s="54"/>
      <c r="J69" s="137">
        <v>1928</v>
      </c>
      <c r="K69" s="65" t="s">
        <v>24</v>
      </c>
      <c r="L69" s="217">
        <v>4000</v>
      </c>
      <c r="N69" s="241"/>
    </row>
    <row r="70" spans="1:14" ht="15.75">
      <c r="A70" s="374" t="s">
        <v>95</v>
      </c>
      <c r="B70" s="374"/>
      <c r="C70" s="230"/>
      <c r="D70" s="45">
        <f>SUM(D64:D69)</f>
        <v>6</v>
      </c>
      <c r="E70" s="45">
        <f>SUM(E64:E69)</f>
        <v>3</v>
      </c>
      <c r="F70" s="45">
        <f>SUM(F64:F69)</f>
        <v>3</v>
      </c>
      <c r="G70" s="45">
        <f>SUM(G64:G69)</f>
        <v>6</v>
      </c>
      <c r="H70" s="45">
        <f>SUM(H64:H69)</f>
        <v>0</v>
      </c>
      <c r="I70" s="231"/>
      <c r="J70" s="60"/>
      <c r="K70" s="231"/>
      <c r="L70" s="144">
        <f>SUM(L64:L69)</f>
        <v>9682.36</v>
      </c>
      <c r="N70" s="241"/>
    </row>
    <row r="71" spans="1:14" ht="15.75">
      <c r="A71" s="312" t="s">
        <v>80</v>
      </c>
      <c r="B71" s="312"/>
      <c r="C71" s="226"/>
      <c r="D71" s="49"/>
      <c r="E71" s="50"/>
      <c r="F71" s="50"/>
      <c r="G71" s="50"/>
      <c r="H71" s="50"/>
      <c r="I71" s="50"/>
      <c r="J71" s="227"/>
      <c r="K71" s="51"/>
      <c r="L71" s="52"/>
      <c r="N71" s="242"/>
    </row>
    <row r="72" spans="1:14" ht="30">
      <c r="A72" s="52" t="s">
        <v>35</v>
      </c>
      <c r="B72" s="52" t="s">
        <v>1</v>
      </c>
      <c r="C72" s="52" t="s">
        <v>3</v>
      </c>
      <c r="D72" s="51" t="s">
        <v>120</v>
      </c>
      <c r="E72" s="52" t="s">
        <v>90</v>
      </c>
      <c r="F72" s="52" t="s">
        <v>91</v>
      </c>
      <c r="G72" s="52" t="s">
        <v>140</v>
      </c>
      <c r="H72" s="52" t="s">
        <v>127</v>
      </c>
      <c r="I72" s="52" t="s">
        <v>159</v>
      </c>
      <c r="J72" s="228" t="s">
        <v>119</v>
      </c>
      <c r="K72" s="52" t="s">
        <v>21</v>
      </c>
      <c r="L72" s="52" t="s">
        <v>22</v>
      </c>
      <c r="N72" s="242"/>
    </row>
    <row r="73" spans="1:14" ht="15">
      <c r="A73" s="350"/>
      <c r="B73" s="350"/>
      <c r="C73" s="324"/>
      <c r="D73" s="95">
        <v>1</v>
      </c>
      <c r="E73" s="95"/>
      <c r="F73" s="95">
        <v>1</v>
      </c>
      <c r="G73" s="95">
        <v>1</v>
      </c>
      <c r="H73" s="46"/>
      <c r="I73" s="46"/>
      <c r="J73" s="137">
        <v>1976</v>
      </c>
      <c r="K73" s="65" t="s">
        <v>51</v>
      </c>
      <c r="L73" s="217">
        <v>4450.03</v>
      </c>
      <c r="N73" s="57"/>
    </row>
    <row r="74" spans="1:14" ht="15">
      <c r="A74" s="350"/>
      <c r="B74" s="350"/>
      <c r="C74" s="324"/>
      <c r="D74" s="95">
        <v>1</v>
      </c>
      <c r="E74" s="95">
        <v>1</v>
      </c>
      <c r="F74" s="95"/>
      <c r="G74" s="95">
        <v>1</v>
      </c>
      <c r="H74" s="46"/>
      <c r="I74" s="46"/>
      <c r="J74" s="137">
        <v>1991</v>
      </c>
      <c r="K74" s="65" t="s">
        <v>49</v>
      </c>
      <c r="L74" s="217">
        <v>4936.93</v>
      </c>
      <c r="N74" s="243"/>
    </row>
    <row r="75" spans="1:12" ht="15.75">
      <c r="A75" s="374" t="s">
        <v>96</v>
      </c>
      <c r="B75" s="374"/>
      <c r="C75" s="230"/>
      <c r="D75" s="45">
        <f>SUM(D73:D74)</f>
        <v>2</v>
      </c>
      <c r="E75" s="45">
        <f>SUM(E73:E74)</f>
        <v>1</v>
      </c>
      <c r="F75" s="45">
        <f>SUM(F73:F74)</f>
        <v>1</v>
      </c>
      <c r="G75" s="45">
        <f>SUM(G73:G74)</f>
        <v>2</v>
      </c>
      <c r="H75" s="45">
        <f>SUM(H73:H74)</f>
        <v>0</v>
      </c>
      <c r="I75" s="231"/>
      <c r="J75" s="60"/>
      <c r="K75" s="231"/>
      <c r="L75" s="144">
        <f>SUM(L73:L74)</f>
        <v>9386.96</v>
      </c>
    </row>
    <row r="76" spans="1:12" ht="15.75">
      <c r="A76" s="312" t="s">
        <v>81</v>
      </c>
      <c r="B76" s="312"/>
      <c r="C76" s="226"/>
      <c r="D76" s="49"/>
      <c r="E76" s="50"/>
      <c r="F76" s="50"/>
      <c r="G76" s="50"/>
      <c r="H76" s="50"/>
      <c r="I76" s="50"/>
      <c r="J76" s="227"/>
      <c r="K76" s="51"/>
      <c r="L76" s="52"/>
    </row>
    <row r="77" spans="1:12" ht="30">
      <c r="A77" s="52" t="s">
        <v>35</v>
      </c>
      <c r="B77" s="52" t="s">
        <v>1</v>
      </c>
      <c r="C77" s="52" t="s">
        <v>3</v>
      </c>
      <c r="D77" s="51" t="s">
        <v>120</v>
      </c>
      <c r="E77" s="52" t="s">
        <v>90</v>
      </c>
      <c r="F77" s="52" t="s">
        <v>91</v>
      </c>
      <c r="G77" s="52" t="s">
        <v>140</v>
      </c>
      <c r="H77" s="52" t="s">
        <v>127</v>
      </c>
      <c r="I77" s="52" t="s">
        <v>159</v>
      </c>
      <c r="J77" s="228" t="s">
        <v>119</v>
      </c>
      <c r="K77" s="52" t="s">
        <v>21</v>
      </c>
      <c r="L77" s="52" t="s">
        <v>22</v>
      </c>
    </row>
    <row r="78" spans="1:12" ht="15">
      <c r="A78" s="350"/>
      <c r="B78" s="350"/>
      <c r="C78" s="324"/>
      <c r="D78" s="95">
        <v>1</v>
      </c>
      <c r="E78" s="46"/>
      <c r="F78" s="95">
        <v>1</v>
      </c>
      <c r="G78" s="95">
        <v>1</v>
      </c>
      <c r="H78" s="46"/>
      <c r="I78" s="46"/>
      <c r="J78" s="137">
        <v>1922</v>
      </c>
      <c r="K78" s="65" t="s">
        <v>51</v>
      </c>
      <c r="L78" s="217">
        <v>1552.75</v>
      </c>
    </row>
    <row r="79" spans="1:12" ht="15.75">
      <c r="A79" s="374" t="s">
        <v>97</v>
      </c>
      <c r="B79" s="374"/>
      <c r="C79" s="230"/>
      <c r="D79" s="45">
        <f>SUM(D78)</f>
        <v>1</v>
      </c>
      <c r="E79" s="45">
        <f>SUM(E78)</f>
        <v>0</v>
      </c>
      <c r="F79" s="45">
        <f>SUM(F78)</f>
        <v>1</v>
      </c>
      <c r="G79" s="45">
        <f>SUM(G77:G78)</f>
        <v>1</v>
      </c>
      <c r="H79" s="45">
        <f>SUM(H77:H78)</f>
        <v>0</v>
      </c>
      <c r="I79" s="231"/>
      <c r="J79" s="60"/>
      <c r="K79" s="231"/>
      <c r="L79" s="144">
        <f>SUM(L78:L78)</f>
        <v>1552.75</v>
      </c>
    </row>
    <row r="80" spans="1:12" ht="15.75">
      <c r="A80" s="312" t="s">
        <v>82</v>
      </c>
      <c r="B80" s="312"/>
      <c r="C80" s="226"/>
      <c r="D80" s="49"/>
      <c r="E80" s="50"/>
      <c r="F80" s="50"/>
      <c r="G80" s="50"/>
      <c r="H80" s="50"/>
      <c r="I80" s="50"/>
      <c r="J80" s="227"/>
      <c r="K80" s="51"/>
      <c r="L80" s="52"/>
    </row>
    <row r="81" spans="1:12" ht="30">
      <c r="A81" s="52" t="s">
        <v>35</v>
      </c>
      <c r="B81" s="52" t="s">
        <v>1</v>
      </c>
      <c r="C81" s="244" t="s">
        <v>3</v>
      </c>
      <c r="D81" s="51" t="s">
        <v>120</v>
      </c>
      <c r="E81" s="52" t="s">
        <v>90</v>
      </c>
      <c r="F81" s="52" t="s">
        <v>91</v>
      </c>
      <c r="G81" s="52" t="s">
        <v>140</v>
      </c>
      <c r="H81" s="52" t="s">
        <v>127</v>
      </c>
      <c r="I81" s="52" t="s">
        <v>159</v>
      </c>
      <c r="J81" s="228" t="s">
        <v>119</v>
      </c>
      <c r="K81" s="52" t="s">
        <v>21</v>
      </c>
      <c r="L81" s="52" t="s">
        <v>22</v>
      </c>
    </row>
    <row r="82" spans="1:12" ht="15">
      <c r="A82" s="350"/>
      <c r="B82" s="350"/>
      <c r="C82" s="324"/>
      <c r="D82" s="95">
        <v>1</v>
      </c>
      <c r="E82" s="95">
        <v>1</v>
      </c>
      <c r="F82" s="95"/>
      <c r="G82" s="95">
        <v>1</v>
      </c>
      <c r="H82" s="46"/>
      <c r="I82" s="46"/>
      <c r="J82" s="137">
        <v>1926</v>
      </c>
      <c r="K82" s="65" t="s">
        <v>134</v>
      </c>
      <c r="L82" s="217">
        <v>592.5</v>
      </c>
    </row>
    <row r="83" spans="1:12" ht="15">
      <c r="A83" s="350"/>
      <c r="B83" s="350"/>
      <c r="C83" s="324"/>
      <c r="D83" s="95">
        <v>1</v>
      </c>
      <c r="E83" s="95">
        <v>1</v>
      </c>
      <c r="F83" s="95"/>
      <c r="G83" s="95">
        <v>1</v>
      </c>
      <c r="H83" s="46"/>
      <c r="I83" s="46"/>
      <c r="J83" s="137">
        <v>1934</v>
      </c>
      <c r="K83" s="65" t="s">
        <v>53</v>
      </c>
      <c r="L83" s="217">
        <v>3061</v>
      </c>
    </row>
    <row r="84" spans="1:12" ht="15">
      <c r="A84" s="350"/>
      <c r="B84" s="350"/>
      <c r="C84" s="324"/>
      <c r="D84" s="95">
        <v>1</v>
      </c>
      <c r="E84" s="95"/>
      <c r="F84" s="95">
        <v>1</v>
      </c>
      <c r="G84" s="95">
        <v>1</v>
      </c>
      <c r="H84" s="46"/>
      <c r="I84" s="46"/>
      <c r="J84" s="137">
        <v>1943</v>
      </c>
      <c r="K84" s="65" t="s">
        <v>53</v>
      </c>
      <c r="L84" s="217">
        <v>3061</v>
      </c>
    </row>
    <row r="85" spans="1:12" ht="15">
      <c r="A85" s="350"/>
      <c r="B85" s="350"/>
      <c r="C85" s="324"/>
      <c r="D85" s="95">
        <v>1</v>
      </c>
      <c r="E85" s="95">
        <v>1</v>
      </c>
      <c r="F85" s="95"/>
      <c r="G85" s="95">
        <v>1</v>
      </c>
      <c r="H85" s="46"/>
      <c r="I85" s="46"/>
      <c r="J85" s="137">
        <v>1981</v>
      </c>
      <c r="K85" s="65" t="s">
        <v>53</v>
      </c>
      <c r="L85" s="217">
        <v>5084.58</v>
      </c>
    </row>
    <row r="86" spans="1:12" ht="15.75">
      <c r="A86" s="374" t="s">
        <v>146</v>
      </c>
      <c r="B86" s="374"/>
      <c r="C86" s="230"/>
      <c r="D86" s="45">
        <f>SUM(D82:D85)</f>
        <v>4</v>
      </c>
      <c r="E86" s="45">
        <f>SUM(E82:E85)</f>
        <v>3</v>
      </c>
      <c r="F86" s="45">
        <f>SUM(F82:F85)</f>
        <v>1</v>
      </c>
      <c r="G86" s="45">
        <f>SUM(G82:G85)</f>
        <v>4</v>
      </c>
      <c r="H86" s="45">
        <f>SUM(H84:H85)</f>
        <v>0</v>
      </c>
      <c r="I86" s="231"/>
      <c r="J86" s="60"/>
      <c r="K86" s="231"/>
      <c r="L86" s="144">
        <f>SUM(L82:L85)</f>
        <v>11799.08</v>
      </c>
    </row>
    <row r="87" spans="1:12" ht="15.75">
      <c r="A87" s="310" t="s">
        <v>83</v>
      </c>
      <c r="B87" s="310"/>
      <c r="C87" s="226"/>
      <c r="D87" s="49"/>
      <c r="E87" s="50"/>
      <c r="F87" s="50"/>
      <c r="G87" s="50"/>
      <c r="H87" s="50"/>
      <c r="I87" s="50"/>
      <c r="J87" s="227"/>
      <c r="K87" s="51"/>
      <c r="L87" s="52"/>
    </row>
    <row r="88" spans="1:12" ht="30">
      <c r="A88" s="52" t="s">
        <v>35</v>
      </c>
      <c r="B88" s="52" t="s">
        <v>1</v>
      </c>
      <c r="C88" s="52" t="s">
        <v>3</v>
      </c>
      <c r="D88" s="51" t="s">
        <v>120</v>
      </c>
      <c r="E88" s="52" t="s">
        <v>90</v>
      </c>
      <c r="F88" s="52" t="s">
        <v>91</v>
      </c>
      <c r="G88" s="52" t="s">
        <v>140</v>
      </c>
      <c r="H88" s="52" t="s">
        <v>127</v>
      </c>
      <c r="I88" s="52" t="s">
        <v>159</v>
      </c>
      <c r="J88" s="228" t="s">
        <v>119</v>
      </c>
      <c r="K88" s="52" t="s">
        <v>21</v>
      </c>
      <c r="L88" s="52" t="s">
        <v>22</v>
      </c>
    </row>
    <row r="89" spans="1:12" ht="15">
      <c r="A89" s="350"/>
      <c r="B89" s="350"/>
      <c r="C89" s="324"/>
      <c r="D89" s="95">
        <v>1</v>
      </c>
      <c r="E89" s="95"/>
      <c r="F89" s="95">
        <v>1</v>
      </c>
      <c r="G89" s="95">
        <v>1</v>
      </c>
      <c r="H89" s="46"/>
      <c r="I89" s="46"/>
      <c r="J89" s="137">
        <v>1928</v>
      </c>
      <c r="K89" s="65" t="s">
        <v>24</v>
      </c>
      <c r="L89" s="217">
        <v>1200</v>
      </c>
    </row>
    <row r="90" spans="1:12" ht="15">
      <c r="A90" s="350"/>
      <c r="B90" s="350"/>
      <c r="C90" s="324"/>
      <c r="D90" s="95">
        <v>1</v>
      </c>
      <c r="E90" s="95">
        <v>1</v>
      </c>
      <c r="F90" s="95"/>
      <c r="G90" s="95">
        <v>1</v>
      </c>
      <c r="H90" s="46"/>
      <c r="I90" s="46"/>
      <c r="J90" s="137">
        <v>1925</v>
      </c>
      <c r="K90" s="65" t="s">
        <v>24</v>
      </c>
      <c r="L90" s="217">
        <v>500</v>
      </c>
    </row>
    <row r="91" spans="1:12" ht="15">
      <c r="A91" s="350"/>
      <c r="B91" s="350"/>
      <c r="C91" s="324"/>
      <c r="D91" s="95">
        <v>1</v>
      </c>
      <c r="E91" s="95"/>
      <c r="F91" s="95">
        <v>1</v>
      </c>
      <c r="G91" s="95">
        <v>1</v>
      </c>
      <c r="H91" s="46"/>
      <c r="I91" s="46"/>
      <c r="J91" s="137">
        <v>1930</v>
      </c>
      <c r="K91" s="65" t="s">
        <v>48</v>
      </c>
      <c r="L91" s="217">
        <v>375.84</v>
      </c>
    </row>
    <row r="92" spans="1:12" ht="15">
      <c r="A92" s="350"/>
      <c r="B92" s="350"/>
      <c r="C92" s="324"/>
      <c r="D92" s="95">
        <v>1</v>
      </c>
      <c r="E92" s="95"/>
      <c r="F92" s="95">
        <v>1</v>
      </c>
      <c r="G92" s="95">
        <v>1</v>
      </c>
      <c r="H92" s="46"/>
      <c r="I92" s="46"/>
      <c r="J92" s="137">
        <v>1929</v>
      </c>
      <c r="K92" s="65" t="s">
        <v>49</v>
      </c>
      <c r="L92" s="217">
        <v>2714</v>
      </c>
    </row>
    <row r="93" spans="1:12" ht="15">
      <c r="A93" s="350"/>
      <c r="B93" s="350"/>
      <c r="C93" s="324"/>
      <c r="D93" s="95">
        <v>1</v>
      </c>
      <c r="E93" s="95"/>
      <c r="F93" s="95">
        <v>1</v>
      </c>
      <c r="G93" s="95">
        <v>1</v>
      </c>
      <c r="H93" s="46"/>
      <c r="I93" s="46"/>
      <c r="J93" s="137">
        <v>1922</v>
      </c>
      <c r="K93" s="65" t="s">
        <v>24</v>
      </c>
      <c r="L93" s="217">
        <v>3500</v>
      </c>
    </row>
    <row r="94" spans="1:12" ht="15">
      <c r="A94" s="350"/>
      <c r="B94" s="350"/>
      <c r="C94" s="324"/>
      <c r="D94" s="95">
        <v>1</v>
      </c>
      <c r="E94" s="95">
        <v>1</v>
      </c>
      <c r="F94" s="95"/>
      <c r="G94" s="95">
        <v>1</v>
      </c>
      <c r="H94" s="46"/>
      <c r="I94" s="46"/>
      <c r="J94" s="137">
        <v>1988</v>
      </c>
      <c r="K94" s="65" t="s">
        <v>49</v>
      </c>
      <c r="L94" s="217">
        <v>2971.23</v>
      </c>
    </row>
    <row r="95" spans="1:12" ht="15">
      <c r="A95" s="350"/>
      <c r="B95" s="350"/>
      <c r="C95" s="324"/>
      <c r="D95" s="95">
        <v>1</v>
      </c>
      <c r="E95" s="95"/>
      <c r="F95" s="95">
        <v>1</v>
      </c>
      <c r="G95" s="95">
        <v>1</v>
      </c>
      <c r="H95" s="46"/>
      <c r="I95" s="46"/>
      <c r="J95" s="137">
        <v>1921</v>
      </c>
      <c r="K95" s="65" t="s">
        <v>48</v>
      </c>
      <c r="L95" s="217">
        <v>2089.78</v>
      </c>
    </row>
    <row r="96" spans="1:12" ht="15">
      <c r="A96" s="350"/>
      <c r="B96" s="350"/>
      <c r="C96" s="324"/>
      <c r="D96" s="95">
        <v>1</v>
      </c>
      <c r="E96" s="95"/>
      <c r="F96" s="95">
        <v>1</v>
      </c>
      <c r="G96" s="95">
        <v>1</v>
      </c>
      <c r="H96" s="46"/>
      <c r="I96" s="46"/>
      <c r="J96" s="137">
        <v>1926</v>
      </c>
      <c r="K96" s="65" t="s">
        <v>134</v>
      </c>
      <c r="L96" s="217">
        <v>0</v>
      </c>
    </row>
    <row r="97" spans="1:12" ht="15">
      <c r="A97" s="350"/>
      <c r="B97" s="350"/>
      <c r="C97" s="324"/>
      <c r="D97" s="95">
        <v>1</v>
      </c>
      <c r="E97" s="95"/>
      <c r="F97" s="95">
        <v>1</v>
      </c>
      <c r="G97" s="95">
        <v>1</v>
      </c>
      <c r="H97" s="46"/>
      <c r="I97" s="46"/>
      <c r="J97" s="137">
        <v>1988</v>
      </c>
      <c r="K97" s="65" t="s">
        <v>48</v>
      </c>
      <c r="L97" s="217">
        <v>2971.28</v>
      </c>
    </row>
    <row r="98" spans="1:12" ht="15">
      <c r="A98" s="350"/>
      <c r="B98" s="350"/>
      <c r="C98" s="324"/>
      <c r="D98" s="95">
        <v>1</v>
      </c>
      <c r="E98" s="95">
        <v>1</v>
      </c>
      <c r="F98" s="95"/>
      <c r="G98" s="95">
        <v>1</v>
      </c>
      <c r="H98" s="46"/>
      <c r="I98" s="46"/>
      <c r="J98" s="137">
        <v>1923</v>
      </c>
      <c r="K98" s="65" t="s">
        <v>134</v>
      </c>
      <c r="L98" s="217">
        <v>6043</v>
      </c>
    </row>
    <row r="99" spans="1:12" ht="15">
      <c r="A99" s="350"/>
      <c r="B99" s="350"/>
      <c r="C99" s="324"/>
      <c r="D99" s="95">
        <v>1</v>
      </c>
      <c r="E99" s="95"/>
      <c r="F99" s="95">
        <v>1</v>
      </c>
      <c r="G99" s="95">
        <v>1</v>
      </c>
      <c r="H99" s="46"/>
      <c r="I99" s="46"/>
      <c r="J99" s="137">
        <v>1926</v>
      </c>
      <c r="K99" s="65" t="s">
        <v>24</v>
      </c>
      <c r="L99" s="217">
        <v>3000</v>
      </c>
    </row>
    <row r="100" spans="1:12" ht="15">
      <c r="A100" s="350"/>
      <c r="B100" s="350"/>
      <c r="C100" s="324"/>
      <c r="D100" s="95">
        <v>1</v>
      </c>
      <c r="E100" s="95"/>
      <c r="F100" s="95">
        <v>1</v>
      </c>
      <c r="G100" s="95">
        <v>1</v>
      </c>
      <c r="H100" s="46"/>
      <c r="I100" s="46"/>
      <c r="J100" s="137">
        <v>1929</v>
      </c>
      <c r="K100" s="65" t="s">
        <v>48</v>
      </c>
      <c r="L100" s="217">
        <v>1020.96</v>
      </c>
    </row>
    <row r="101" spans="1:12" ht="15">
      <c r="A101" s="350"/>
      <c r="B101" s="350"/>
      <c r="C101" s="324"/>
      <c r="D101" s="95">
        <v>1</v>
      </c>
      <c r="E101" s="95"/>
      <c r="F101" s="95">
        <v>1</v>
      </c>
      <c r="G101" s="95">
        <v>1</v>
      </c>
      <c r="H101" s="46"/>
      <c r="I101" s="46"/>
      <c r="J101" s="137">
        <v>1935</v>
      </c>
      <c r="K101" s="65" t="s">
        <v>24</v>
      </c>
      <c r="L101" s="217">
        <v>3500</v>
      </c>
    </row>
    <row r="102" spans="1:12" ht="15">
      <c r="A102" s="350"/>
      <c r="B102" s="350"/>
      <c r="C102" s="324"/>
      <c r="D102" s="95">
        <v>1</v>
      </c>
      <c r="E102" s="95"/>
      <c r="F102" s="95">
        <v>1</v>
      </c>
      <c r="G102" s="95">
        <v>1</v>
      </c>
      <c r="H102" s="46"/>
      <c r="I102" s="46"/>
      <c r="J102" s="137">
        <v>1930</v>
      </c>
      <c r="K102" s="65" t="s">
        <v>134</v>
      </c>
      <c r="L102" s="217">
        <v>4819</v>
      </c>
    </row>
    <row r="103" spans="1:12" ht="15">
      <c r="A103" s="350"/>
      <c r="B103" s="350"/>
      <c r="C103" s="324"/>
      <c r="D103" s="95">
        <v>1</v>
      </c>
      <c r="E103" s="95"/>
      <c r="F103" s="95">
        <v>1</v>
      </c>
      <c r="G103" s="95">
        <v>1</v>
      </c>
      <c r="H103" s="46"/>
      <c r="I103" s="46"/>
      <c r="J103" s="137">
        <v>1923</v>
      </c>
      <c r="K103" s="65" t="s">
        <v>134</v>
      </c>
      <c r="L103" s="217">
        <v>1224.24</v>
      </c>
    </row>
    <row r="104" spans="1:12" ht="15.75">
      <c r="A104" s="374" t="s">
        <v>98</v>
      </c>
      <c r="B104" s="374"/>
      <c r="C104" s="230"/>
      <c r="D104" s="45">
        <f>SUM(D89:D103)</f>
        <v>15</v>
      </c>
      <c r="E104" s="45">
        <f>SUM(E89:E103)</f>
        <v>3</v>
      </c>
      <c r="F104" s="45">
        <f>SUM(F89:F103)</f>
        <v>12</v>
      </c>
      <c r="G104" s="45">
        <f>SUM(G89:G103)</f>
        <v>15</v>
      </c>
      <c r="H104" s="45">
        <f>SUM(H89:H103)</f>
        <v>0</v>
      </c>
      <c r="I104" s="231"/>
      <c r="J104" s="60"/>
      <c r="K104" s="231"/>
      <c r="L104" s="144">
        <f>SUM(L89:L103)</f>
        <v>35929.329999999994</v>
      </c>
    </row>
    <row r="105" spans="1:12" ht="15.75">
      <c r="A105" s="310" t="s">
        <v>84</v>
      </c>
      <c r="B105" s="310"/>
      <c r="C105" s="226"/>
      <c r="D105" s="49"/>
      <c r="E105" s="50"/>
      <c r="F105" s="50"/>
      <c r="G105" s="50"/>
      <c r="H105" s="50"/>
      <c r="I105" s="50"/>
      <c r="J105" s="227"/>
      <c r="K105" s="51"/>
      <c r="L105" s="52"/>
    </row>
    <row r="106" spans="1:12" ht="30">
      <c r="A106" s="52" t="s">
        <v>35</v>
      </c>
      <c r="B106" s="52" t="s">
        <v>1</v>
      </c>
      <c r="C106" s="52" t="s">
        <v>3</v>
      </c>
      <c r="D106" s="51" t="s">
        <v>120</v>
      </c>
      <c r="E106" s="52" t="s">
        <v>90</v>
      </c>
      <c r="F106" s="52" t="s">
        <v>91</v>
      </c>
      <c r="G106" s="52" t="s">
        <v>140</v>
      </c>
      <c r="H106" s="52" t="s">
        <v>127</v>
      </c>
      <c r="I106" s="52" t="s">
        <v>159</v>
      </c>
      <c r="J106" s="228" t="s">
        <v>119</v>
      </c>
      <c r="K106" s="52" t="s">
        <v>21</v>
      </c>
      <c r="L106" s="52" t="s">
        <v>22</v>
      </c>
    </row>
    <row r="107" spans="1:12" ht="15">
      <c r="A107" s="350"/>
      <c r="B107" s="350"/>
      <c r="C107" s="324"/>
      <c r="D107" s="95">
        <v>1</v>
      </c>
      <c r="E107" s="46"/>
      <c r="F107" s="95">
        <v>1</v>
      </c>
      <c r="G107" s="95">
        <v>1</v>
      </c>
      <c r="H107" s="46"/>
      <c r="I107" s="46"/>
      <c r="J107" s="137">
        <v>1929</v>
      </c>
      <c r="K107" s="65" t="s">
        <v>48</v>
      </c>
      <c r="L107" s="217">
        <v>1052.87</v>
      </c>
    </row>
    <row r="108" spans="1:12" ht="15">
      <c r="A108" s="350"/>
      <c r="B108" s="350"/>
      <c r="C108" s="324"/>
      <c r="D108" s="95">
        <v>1</v>
      </c>
      <c r="E108" s="46"/>
      <c r="F108" s="95">
        <v>1</v>
      </c>
      <c r="G108" s="95">
        <v>1</v>
      </c>
      <c r="H108" s="46"/>
      <c r="I108" s="46"/>
      <c r="J108" s="137">
        <v>1931</v>
      </c>
      <c r="K108" s="65" t="s">
        <v>48</v>
      </c>
      <c r="L108" s="217">
        <v>3605.27</v>
      </c>
    </row>
    <row r="109" spans="1:12" ht="15.75">
      <c r="A109" s="374" t="s">
        <v>99</v>
      </c>
      <c r="B109" s="374"/>
      <c r="C109" s="230"/>
      <c r="D109" s="45">
        <f>SUM(D107:D108)</f>
        <v>2</v>
      </c>
      <c r="E109" s="45">
        <f>SUM(E107:E108)</f>
        <v>0</v>
      </c>
      <c r="F109" s="45">
        <f>SUM(F107:F108)</f>
        <v>2</v>
      </c>
      <c r="G109" s="45">
        <f>SUM(G107:G108)</f>
        <v>2</v>
      </c>
      <c r="H109" s="45">
        <f>SUM(H94:H108)</f>
        <v>0</v>
      </c>
      <c r="I109" s="231"/>
      <c r="J109" s="60"/>
      <c r="K109" s="231"/>
      <c r="L109" s="144">
        <f>SUM(L107:L108)</f>
        <v>4658.139999999999</v>
      </c>
    </row>
    <row r="110" spans="1:12" ht="15.75">
      <c r="A110" s="310" t="s">
        <v>85</v>
      </c>
      <c r="B110" s="310"/>
      <c r="C110" s="226"/>
      <c r="D110" s="49"/>
      <c r="E110" s="50"/>
      <c r="F110" s="50"/>
      <c r="G110" s="50"/>
      <c r="H110" s="50"/>
      <c r="I110" s="50"/>
      <c r="J110" s="227"/>
      <c r="K110" s="51"/>
      <c r="L110" s="52"/>
    </row>
    <row r="111" spans="1:12" ht="30">
      <c r="A111" s="52" t="s">
        <v>35</v>
      </c>
      <c r="B111" s="52" t="s">
        <v>1</v>
      </c>
      <c r="C111" s="52" t="s">
        <v>3</v>
      </c>
      <c r="D111" s="51" t="s">
        <v>120</v>
      </c>
      <c r="E111" s="52" t="s">
        <v>90</v>
      </c>
      <c r="F111" s="52" t="s">
        <v>91</v>
      </c>
      <c r="G111" s="52" t="s">
        <v>140</v>
      </c>
      <c r="H111" s="52" t="s">
        <v>127</v>
      </c>
      <c r="I111" s="52" t="s">
        <v>159</v>
      </c>
      <c r="J111" s="228" t="s">
        <v>119</v>
      </c>
      <c r="K111" s="52" t="s">
        <v>21</v>
      </c>
      <c r="L111" s="228" t="s">
        <v>22</v>
      </c>
    </row>
    <row r="112" spans="1:12" ht="15">
      <c r="A112" s="350"/>
      <c r="B112" s="350"/>
      <c r="C112" s="324"/>
      <c r="D112" s="95">
        <v>1</v>
      </c>
      <c r="E112" s="95"/>
      <c r="F112" s="95">
        <v>1</v>
      </c>
      <c r="G112" s="95">
        <v>1</v>
      </c>
      <c r="H112" s="46"/>
      <c r="I112" s="46"/>
      <c r="J112" s="58"/>
      <c r="K112" s="65" t="s">
        <v>24</v>
      </c>
      <c r="L112" s="217">
        <v>4000</v>
      </c>
    </row>
    <row r="113" spans="1:12" ht="15">
      <c r="A113" s="350"/>
      <c r="B113" s="350"/>
      <c r="C113" s="324"/>
      <c r="D113" s="95">
        <v>1</v>
      </c>
      <c r="E113" s="95">
        <v>1</v>
      </c>
      <c r="F113" s="95"/>
      <c r="G113" s="95">
        <v>1</v>
      </c>
      <c r="H113" s="46"/>
      <c r="I113" s="46"/>
      <c r="J113" s="58"/>
      <c r="K113" s="65" t="s">
        <v>134</v>
      </c>
      <c r="L113" s="217">
        <v>750</v>
      </c>
    </row>
    <row r="114" spans="1:12" ht="15">
      <c r="A114" s="350"/>
      <c r="B114" s="350"/>
      <c r="C114" s="324"/>
      <c r="D114" s="95">
        <v>1</v>
      </c>
      <c r="E114" s="95"/>
      <c r="F114" s="95">
        <v>1</v>
      </c>
      <c r="G114" s="95">
        <v>1</v>
      </c>
      <c r="H114" s="46"/>
      <c r="I114" s="46"/>
      <c r="J114" s="58"/>
      <c r="K114" s="65" t="s">
        <v>134</v>
      </c>
      <c r="L114" s="217">
        <v>6457.32</v>
      </c>
    </row>
    <row r="115" spans="1:12" ht="15">
      <c r="A115" s="350"/>
      <c r="B115" s="350"/>
      <c r="C115" s="324"/>
      <c r="D115" s="95">
        <v>1</v>
      </c>
      <c r="E115" s="95">
        <v>1</v>
      </c>
      <c r="F115" s="95"/>
      <c r="G115" s="95">
        <v>1</v>
      </c>
      <c r="H115" s="46"/>
      <c r="I115" s="46"/>
      <c r="J115" s="58"/>
      <c r="K115" s="65" t="s">
        <v>102</v>
      </c>
      <c r="L115" s="217">
        <v>60</v>
      </c>
    </row>
    <row r="116" spans="1:12" ht="15">
      <c r="A116" s="350"/>
      <c r="B116" s="350"/>
      <c r="C116" s="324"/>
      <c r="D116" s="95">
        <v>1</v>
      </c>
      <c r="E116" s="95"/>
      <c r="F116" s="95">
        <v>1</v>
      </c>
      <c r="G116" s="95">
        <v>1</v>
      </c>
      <c r="H116" s="46"/>
      <c r="I116" s="46"/>
      <c r="J116" s="58"/>
      <c r="K116" s="65" t="s">
        <v>134</v>
      </c>
      <c r="L116" s="217">
        <v>6843</v>
      </c>
    </row>
    <row r="117" spans="1:12" ht="15">
      <c r="A117" s="350"/>
      <c r="B117" s="350"/>
      <c r="C117" s="324"/>
      <c r="D117" s="95">
        <v>1</v>
      </c>
      <c r="E117" s="95">
        <v>1</v>
      </c>
      <c r="F117" s="95"/>
      <c r="G117" s="95">
        <v>1</v>
      </c>
      <c r="H117" s="46"/>
      <c r="I117" s="46"/>
      <c r="J117" s="58"/>
      <c r="K117" s="65" t="s">
        <v>49</v>
      </c>
      <c r="L117" s="217">
        <v>3634</v>
      </c>
    </row>
    <row r="118" spans="1:12" ht="15">
      <c r="A118" s="350"/>
      <c r="B118" s="350"/>
      <c r="C118" s="324"/>
      <c r="D118" s="95">
        <v>1</v>
      </c>
      <c r="E118" s="95"/>
      <c r="F118" s="95">
        <v>1</v>
      </c>
      <c r="G118" s="95">
        <v>1</v>
      </c>
      <c r="H118" s="46"/>
      <c r="I118" s="46"/>
      <c r="J118" s="58"/>
      <c r="K118" s="65" t="s">
        <v>49</v>
      </c>
      <c r="L118" s="217">
        <v>2195.83</v>
      </c>
    </row>
    <row r="119" spans="1:12" ht="15">
      <c r="A119" s="350"/>
      <c r="B119" s="350"/>
      <c r="C119" s="324"/>
      <c r="D119" s="95">
        <v>1</v>
      </c>
      <c r="E119" s="95"/>
      <c r="F119" s="95">
        <v>1</v>
      </c>
      <c r="G119" s="95">
        <v>1</v>
      </c>
      <c r="H119" s="46"/>
      <c r="I119" s="46"/>
      <c r="J119" s="58"/>
      <c r="K119" s="65" t="s">
        <v>49</v>
      </c>
      <c r="L119" s="217">
        <v>1840</v>
      </c>
    </row>
    <row r="120" spans="1:12" ht="15">
      <c r="A120" s="350"/>
      <c r="B120" s="350"/>
      <c r="C120" s="324"/>
      <c r="D120" s="95">
        <v>1</v>
      </c>
      <c r="E120" s="95"/>
      <c r="F120" s="95">
        <v>1</v>
      </c>
      <c r="G120" s="95">
        <v>1</v>
      </c>
      <c r="H120" s="46"/>
      <c r="I120" s="46"/>
      <c r="J120" s="58"/>
      <c r="K120" s="65" t="s">
        <v>134</v>
      </c>
      <c r="L120" s="217">
        <v>4483.91</v>
      </c>
    </row>
    <row r="121" spans="1:12" ht="15">
      <c r="A121" s="350"/>
      <c r="B121" s="350"/>
      <c r="C121" s="324"/>
      <c r="D121" s="95">
        <v>1</v>
      </c>
      <c r="E121" s="95"/>
      <c r="F121" s="95">
        <v>1</v>
      </c>
      <c r="G121" s="95">
        <v>1</v>
      </c>
      <c r="H121" s="46"/>
      <c r="I121" s="46"/>
      <c r="J121" s="58"/>
      <c r="K121" s="65" t="s">
        <v>24</v>
      </c>
      <c r="L121" s="217">
        <v>1500</v>
      </c>
    </row>
    <row r="122" spans="1:12" ht="15">
      <c r="A122" s="350"/>
      <c r="B122" s="350"/>
      <c r="C122" s="324"/>
      <c r="D122" s="95">
        <v>1</v>
      </c>
      <c r="E122" s="95"/>
      <c r="F122" s="95">
        <v>1</v>
      </c>
      <c r="G122" s="95">
        <v>1</v>
      </c>
      <c r="H122" s="46"/>
      <c r="I122" s="46"/>
      <c r="J122" s="58"/>
      <c r="K122" s="65" t="s">
        <v>53</v>
      </c>
      <c r="L122" s="217">
        <v>1564</v>
      </c>
    </row>
    <row r="123" spans="1:12" ht="15">
      <c r="A123" s="350"/>
      <c r="B123" s="350"/>
      <c r="C123" s="324"/>
      <c r="D123" s="95">
        <v>1</v>
      </c>
      <c r="E123" s="95"/>
      <c r="F123" s="95">
        <v>1</v>
      </c>
      <c r="G123" s="95">
        <v>1</v>
      </c>
      <c r="H123" s="46"/>
      <c r="I123" s="46"/>
      <c r="J123" s="58"/>
      <c r="K123" s="65" t="s">
        <v>49</v>
      </c>
      <c r="L123" s="217">
        <v>1012</v>
      </c>
    </row>
    <row r="124" spans="1:12" ht="15">
      <c r="A124" s="350"/>
      <c r="B124" s="350"/>
      <c r="C124" s="324"/>
      <c r="D124" s="95">
        <v>1</v>
      </c>
      <c r="E124" s="95"/>
      <c r="F124" s="95">
        <v>1</v>
      </c>
      <c r="G124" s="95">
        <v>1</v>
      </c>
      <c r="H124" s="46"/>
      <c r="I124" s="46"/>
      <c r="J124" s="58"/>
      <c r="K124" s="65" t="s">
        <v>134</v>
      </c>
      <c r="L124" s="217">
        <v>6885.13</v>
      </c>
    </row>
    <row r="125" spans="1:12" ht="15">
      <c r="A125" s="350"/>
      <c r="B125" s="350"/>
      <c r="C125" s="324"/>
      <c r="D125" s="95">
        <v>1</v>
      </c>
      <c r="E125" s="95"/>
      <c r="F125" s="95">
        <v>1</v>
      </c>
      <c r="G125" s="95">
        <v>1</v>
      </c>
      <c r="H125" s="46"/>
      <c r="I125" s="46"/>
      <c r="J125" s="58"/>
      <c r="K125" s="65" t="s">
        <v>48</v>
      </c>
      <c r="L125" s="217">
        <v>703.82</v>
      </c>
    </row>
    <row r="126" spans="1:12" ht="15">
      <c r="A126" s="350"/>
      <c r="B126" s="350"/>
      <c r="C126" s="324"/>
      <c r="D126" s="95">
        <v>1</v>
      </c>
      <c r="E126" s="95"/>
      <c r="F126" s="95">
        <v>1</v>
      </c>
      <c r="G126" s="95">
        <v>1</v>
      </c>
      <c r="H126" s="46"/>
      <c r="I126" s="46"/>
      <c r="J126" s="58"/>
      <c r="K126" s="65" t="s">
        <v>24</v>
      </c>
      <c r="L126" s="217">
        <v>4000</v>
      </c>
    </row>
    <row r="127" spans="1:12" ht="15">
      <c r="A127" s="350"/>
      <c r="B127" s="350"/>
      <c r="C127" s="324"/>
      <c r="D127" s="95">
        <v>1</v>
      </c>
      <c r="E127" s="95"/>
      <c r="F127" s="95">
        <v>1</v>
      </c>
      <c r="G127" s="95">
        <v>1</v>
      </c>
      <c r="H127" s="46"/>
      <c r="I127" s="46"/>
      <c r="J127" s="58"/>
      <c r="K127" s="65" t="s">
        <v>24</v>
      </c>
      <c r="L127" s="217">
        <v>2000</v>
      </c>
    </row>
    <row r="128" spans="1:12" ht="15">
      <c r="A128" s="350"/>
      <c r="B128" s="350"/>
      <c r="C128" s="324"/>
      <c r="D128" s="95">
        <v>1</v>
      </c>
      <c r="E128" s="95"/>
      <c r="F128" s="95">
        <v>1</v>
      </c>
      <c r="G128" s="95">
        <v>1</v>
      </c>
      <c r="H128" s="46"/>
      <c r="I128" s="46"/>
      <c r="J128" s="58"/>
      <c r="K128" s="65" t="s">
        <v>24</v>
      </c>
      <c r="L128" s="217">
        <v>3000</v>
      </c>
    </row>
    <row r="129" spans="1:12" ht="15">
      <c r="A129" s="350"/>
      <c r="B129" s="350"/>
      <c r="C129" s="324"/>
      <c r="D129" s="95">
        <v>1</v>
      </c>
      <c r="E129" s="95"/>
      <c r="F129" s="95">
        <v>1</v>
      </c>
      <c r="G129" s="95">
        <v>1</v>
      </c>
      <c r="H129" s="46"/>
      <c r="I129" s="46"/>
      <c r="J129" s="58"/>
      <c r="K129" s="65" t="s">
        <v>134</v>
      </c>
      <c r="L129" s="217">
        <v>0</v>
      </c>
    </row>
    <row r="130" spans="1:12" ht="15.75">
      <c r="A130" s="350"/>
      <c r="B130" s="350"/>
      <c r="C130" s="324"/>
      <c r="D130" s="95">
        <v>1</v>
      </c>
      <c r="E130" s="95">
        <v>1</v>
      </c>
      <c r="F130" s="95"/>
      <c r="G130" s="95">
        <v>1</v>
      </c>
      <c r="H130" s="59"/>
      <c r="I130" s="59"/>
      <c r="J130" s="58"/>
      <c r="K130" s="65" t="s">
        <v>134</v>
      </c>
      <c r="L130" s="217">
        <v>592.5</v>
      </c>
    </row>
    <row r="131" spans="1:12" ht="15.75">
      <c r="A131" s="350"/>
      <c r="B131" s="350"/>
      <c r="C131" s="324"/>
      <c r="D131" s="95">
        <v>1</v>
      </c>
      <c r="E131" s="95">
        <v>1</v>
      </c>
      <c r="F131" s="95"/>
      <c r="G131" s="95">
        <v>1</v>
      </c>
      <c r="H131" s="59"/>
      <c r="I131" s="59"/>
      <c r="J131" s="58"/>
      <c r="K131" s="65" t="s">
        <v>24</v>
      </c>
      <c r="L131" s="217">
        <v>1000</v>
      </c>
    </row>
    <row r="132" spans="1:12" ht="15">
      <c r="A132" s="350"/>
      <c r="B132" s="350"/>
      <c r="C132" s="324"/>
      <c r="D132" s="95">
        <v>1</v>
      </c>
      <c r="E132" s="95"/>
      <c r="F132" s="95">
        <v>1</v>
      </c>
      <c r="G132" s="95">
        <v>1</v>
      </c>
      <c r="H132" s="55"/>
      <c r="I132" s="158"/>
      <c r="J132" s="66"/>
      <c r="K132" s="65" t="s">
        <v>24</v>
      </c>
      <c r="L132" s="217">
        <v>2500</v>
      </c>
    </row>
    <row r="133" spans="1:12" ht="15">
      <c r="A133" s="350"/>
      <c r="B133" s="350"/>
      <c r="C133" s="324"/>
      <c r="D133" s="95">
        <v>1</v>
      </c>
      <c r="E133" s="95"/>
      <c r="F133" s="95">
        <v>1</v>
      </c>
      <c r="G133" s="95">
        <v>1</v>
      </c>
      <c r="H133" s="55"/>
      <c r="I133" s="158"/>
      <c r="J133" s="66"/>
      <c r="K133" s="65" t="s">
        <v>134</v>
      </c>
      <c r="L133" s="217">
        <v>1224.5</v>
      </c>
    </row>
    <row r="134" spans="1:12" ht="15">
      <c r="A134" s="350"/>
      <c r="B134" s="350"/>
      <c r="C134" s="324"/>
      <c r="D134" s="95">
        <v>1</v>
      </c>
      <c r="E134" s="95"/>
      <c r="F134" s="95">
        <v>1</v>
      </c>
      <c r="G134" s="95">
        <v>1</v>
      </c>
      <c r="H134" s="55"/>
      <c r="I134" s="158"/>
      <c r="J134" s="66"/>
      <c r="K134" s="65" t="s">
        <v>134</v>
      </c>
      <c r="L134" s="217">
        <v>0</v>
      </c>
    </row>
    <row r="135" spans="1:12" ht="15">
      <c r="A135" s="350"/>
      <c r="B135" s="350"/>
      <c r="C135" s="324"/>
      <c r="D135" s="95">
        <v>1</v>
      </c>
      <c r="E135" s="95"/>
      <c r="F135" s="95">
        <v>1</v>
      </c>
      <c r="G135" s="95">
        <v>1</v>
      </c>
      <c r="H135" s="55"/>
      <c r="I135" s="158"/>
      <c r="J135" s="66"/>
      <c r="K135" s="65" t="s">
        <v>48</v>
      </c>
      <c r="L135" s="217">
        <v>127.62</v>
      </c>
    </row>
    <row r="136" spans="1:12" ht="15">
      <c r="A136" s="350"/>
      <c r="B136" s="350"/>
      <c r="C136" s="324"/>
      <c r="D136" s="95">
        <v>1</v>
      </c>
      <c r="E136" s="95"/>
      <c r="F136" s="95">
        <v>1</v>
      </c>
      <c r="G136" s="95">
        <v>1</v>
      </c>
      <c r="H136" s="55"/>
      <c r="I136" s="158"/>
      <c r="J136" s="66"/>
      <c r="K136" s="65" t="s">
        <v>24</v>
      </c>
      <c r="L136" s="217">
        <v>0</v>
      </c>
    </row>
    <row r="137" spans="1:12" ht="15">
      <c r="A137" s="350"/>
      <c r="B137" s="350"/>
      <c r="C137" s="324"/>
      <c r="D137" s="95">
        <v>1</v>
      </c>
      <c r="E137" s="95"/>
      <c r="F137" s="95">
        <v>1</v>
      </c>
      <c r="G137" s="95">
        <v>1</v>
      </c>
      <c r="H137" s="55"/>
      <c r="I137" s="158"/>
      <c r="J137" s="66"/>
      <c r="K137" s="65" t="s">
        <v>49</v>
      </c>
      <c r="L137" s="217">
        <v>4186</v>
      </c>
    </row>
    <row r="138" spans="1:12" ht="15">
      <c r="A138" s="350"/>
      <c r="B138" s="350"/>
      <c r="C138" s="324"/>
      <c r="D138" s="95">
        <v>1</v>
      </c>
      <c r="E138" s="95">
        <v>1</v>
      </c>
      <c r="F138" s="95"/>
      <c r="G138" s="95">
        <v>1</v>
      </c>
      <c r="H138" s="55"/>
      <c r="I138" s="158"/>
      <c r="J138" s="66"/>
      <c r="K138" s="65" t="s">
        <v>24</v>
      </c>
      <c r="L138" s="217">
        <v>120</v>
      </c>
    </row>
    <row r="139" spans="1:12" ht="15">
      <c r="A139" s="350"/>
      <c r="B139" s="350"/>
      <c r="C139" s="324"/>
      <c r="D139" s="95">
        <v>1</v>
      </c>
      <c r="E139" s="95"/>
      <c r="F139" s="95">
        <v>1</v>
      </c>
      <c r="G139" s="95">
        <v>1</v>
      </c>
      <c r="H139" s="55"/>
      <c r="I139" s="158"/>
      <c r="J139" s="66"/>
      <c r="K139" s="65" t="s">
        <v>24</v>
      </c>
      <c r="L139" s="217">
        <v>2000</v>
      </c>
    </row>
    <row r="140" spans="1:12" ht="15">
      <c r="A140" s="350"/>
      <c r="B140" s="350"/>
      <c r="C140" s="324"/>
      <c r="D140" s="95">
        <v>1</v>
      </c>
      <c r="E140" s="95">
        <v>1</v>
      </c>
      <c r="F140" s="95"/>
      <c r="G140" s="95">
        <v>1</v>
      </c>
      <c r="H140" s="55"/>
      <c r="I140" s="158"/>
      <c r="J140" s="66"/>
      <c r="K140" s="65" t="s">
        <v>134</v>
      </c>
      <c r="L140" s="217">
        <v>450</v>
      </c>
    </row>
    <row r="141" spans="1:12" ht="15">
      <c r="A141" s="350"/>
      <c r="B141" s="350"/>
      <c r="C141" s="324"/>
      <c r="D141" s="95">
        <v>1</v>
      </c>
      <c r="E141" s="95"/>
      <c r="F141" s="95">
        <v>1</v>
      </c>
      <c r="G141" s="95">
        <v>1</v>
      </c>
      <c r="H141" s="55"/>
      <c r="I141" s="158"/>
      <c r="J141" s="66"/>
      <c r="K141" s="65" t="s">
        <v>48</v>
      </c>
      <c r="L141" s="217">
        <v>1293.36</v>
      </c>
    </row>
    <row r="142" spans="1:12" ht="15">
      <c r="A142" s="350"/>
      <c r="B142" s="350"/>
      <c r="C142" s="324"/>
      <c r="D142" s="95">
        <v>1</v>
      </c>
      <c r="E142" s="95"/>
      <c r="F142" s="95">
        <v>1</v>
      </c>
      <c r="G142" s="95">
        <v>1</v>
      </c>
      <c r="H142" s="55"/>
      <c r="I142" s="158"/>
      <c r="J142" s="66"/>
      <c r="K142" s="65" t="s">
        <v>134</v>
      </c>
      <c r="L142" s="217">
        <v>7268</v>
      </c>
    </row>
    <row r="143" spans="1:12" ht="15">
      <c r="A143" s="350"/>
      <c r="B143" s="350"/>
      <c r="C143" s="324"/>
      <c r="D143" s="95">
        <v>1</v>
      </c>
      <c r="E143" s="95"/>
      <c r="F143" s="95">
        <v>1</v>
      </c>
      <c r="G143" s="95">
        <v>1</v>
      </c>
      <c r="H143" s="55"/>
      <c r="I143" s="158"/>
      <c r="J143" s="66"/>
      <c r="K143" s="65" t="s">
        <v>53</v>
      </c>
      <c r="L143" s="217">
        <v>5593.33</v>
      </c>
    </row>
    <row r="144" spans="1:12" ht="15">
      <c r="A144" s="374" t="s">
        <v>100</v>
      </c>
      <c r="B144" s="374"/>
      <c r="C144" s="245"/>
      <c r="D144" s="45">
        <f>SUM(D112:D143)</f>
        <v>32</v>
      </c>
      <c r="E144" s="45">
        <f>SUM(E112:E143)</f>
        <v>7</v>
      </c>
      <c r="F144" s="45">
        <f>SUM(F112:F143)</f>
        <v>25</v>
      </c>
      <c r="G144" s="45">
        <f>SUM(G112:G143)</f>
        <v>32</v>
      </c>
      <c r="H144" s="45">
        <f>SUM(H129:H143)</f>
        <v>0</v>
      </c>
      <c r="I144" s="246"/>
      <c r="J144" s="83"/>
      <c r="K144" s="247"/>
      <c r="L144" s="144">
        <f>SUM(L112:L143)</f>
        <v>77284.31999999999</v>
      </c>
    </row>
    <row r="145" spans="1:12" ht="15.75">
      <c r="A145" s="375" t="s">
        <v>112</v>
      </c>
      <c r="B145" s="375"/>
      <c r="C145" s="245"/>
      <c r="D145" s="71">
        <f>D10+D61+D70+D75+D79+D86+D104+D109+D144</f>
        <v>115</v>
      </c>
      <c r="E145" s="71">
        <f>E10+E61+E70+E75+E79+E86+E104+E109+E144</f>
        <v>39</v>
      </c>
      <c r="F145" s="71">
        <f>F10+F61+F70+F75+F79+F86+F104+F109+F144</f>
        <v>76</v>
      </c>
      <c r="G145" s="71">
        <f>G10+G61+G70+G75+G79+G86+G104+G109+G144</f>
        <v>115</v>
      </c>
      <c r="H145" s="258">
        <f>SUM(H130:H144)</f>
        <v>0</v>
      </c>
      <c r="I145" s="246"/>
      <c r="J145" s="83"/>
      <c r="K145" s="247"/>
      <c r="L145" s="73">
        <v>309551.13</v>
      </c>
    </row>
  </sheetData>
  <mergeCells count="21">
    <mergeCell ref="A1:L1"/>
    <mergeCell ref="A75:B75"/>
    <mergeCell ref="A76:B76"/>
    <mergeCell ref="A79:B79"/>
    <mergeCell ref="A3:B3"/>
    <mergeCell ref="A2:L2"/>
    <mergeCell ref="A71:B71"/>
    <mergeCell ref="A10:B10"/>
    <mergeCell ref="A11:B11"/>
    <mergeCell ref="A61:B61"/>
    <mergeCell ref="A62:B62"/>
    <mergeCell ref="A70:B70"/>
    <mergeCell ref="A80:B80"/>
    <mergeCell ref="A86:B86"/>
    <mergeCell ref="A87:B87"/>
    <mergeCell ref="A104:B104"/>
    <mergeCell ref="A145:B145"/>
    <mergeCell ref="A105:B105"/>
    <mergeCell ref="A109:B109"/>
    <mergeCell ref="A110:B110"/>
    <mergeCell ref="A144:B144"/>
  </mergeCells>
  <printOptions/>
  <pageMargins left="0.1968503937007874" right="0.1968503937007874" top="0.1968503937007874" bottom="0.1968503937007874" header="0.5118110236220472" footer="0.5118110236220472"/>
  <pageSetup horizontalDpi="600" verticalDpi="600" orientation="landscape" paperSize="9" scale="5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codeName="Foglio9">
    <tabColor indexed="27"/>
  </sheetPr>
  <dimension ref="A1:DO166"/>
  <sheetViews>
    <sheetView workbookViewId="0" topLeftCell="A127">
      <selection activeCell="C157" sqref="C157"/>
    </sheetView>
  </sheetViews>
  <sheetFormatPr defaultColWidth="9.140625" defaultRowHeight="12.75"/>
  <cols>
    <col min="1" max="2" width="20.7109375" style="57" customWidth="1"/>
    <col min="3" max="3" width="20.7109375" style="127" customWidth="1"/>
    <col min="4" max="4" width="7.7109375" style="44" customWidth="1"/>
    <col min="5" max="6" width="5.7109375" style="44" customWidth="1"/>
    <col min="7" max="8" width="9.7109375" style="44" customWidth="1"/>
    <col min="9" max="9" width="10.140625" style="44" customWidth="1"/>
    <col min="10" max="10" width="13.7109375" style="44" customWidth="1"/>
    <col min="11" max="12" width="14.7109375" style="44" customWidth="1"/>
    <col min="13" max="13" width="16.8515625" style="129" customWidth="1"/>
    <col min="14" max="14" width="9.140625" style="44" customWidth="1"/>
    <col min="15" max="15" width="11.8515625" style="44" bestFit="1" customWidth="1"/>
    <col min="16" max="16384" width="9.140625" style="44" customWidth="1"/>
  </cols>
  <sheetData>
    <row r="1" spans="1:13" ht="30" customHeight="1">
      <c r="A1" s="314" t="s">
        <v>87</v>
      </c>
      <c r="B1" s="315"/>
      <c r="C1" s="315"/>
      <c r="D1" s="315"/>
      <c r="E1" s="315"/>
      <c r="F1" s="315"/>
      <c r="G1" s="315"/>
      <c r="H1" s="315"/>
      <c r="I1" s="315"/>
      <c r="J1" s="315"/>
      <c r="K1" s="315"/>
      <c r="L1" s="315"/>
      <c r="M1" s="160" t="s">
        <v>136</v>
      </c>
    </row>
    <row r="2" spans="1:14" ht="49.5" customHeight="1">
      <c r="A2" s="378" t="s">
        <v>184</v>
      </c>
      <c r="B2" s="379"/>
      <c r="C2" s="379"/>
      <c r="D2" s="337"/>
      <c r="E2" s="337"/>
      <c r="F2" s="337"/>
      <c r="G2" s="337"/>
      <c r="H2" s="337"/>
      <c r="I2" s="337"/>
      <c r="J2" s="337"/>
      <c r="K2" s="337"/>
      <c r="L2" s="337"/>
      <c r="M2" s="380"/>
      <c r="N2" s="251"/>
    </row>
    <row r="3" spans="1:13" ht="15" customHeight="1">
      <c r="A3" s="381" t="s">
        <v>77</v>
      </c>
      <c r="B3" s="381"/>
      <c r="C3" s="48"/>
      <c r="D3" s="49"/>
      <c r="E3" s="50"/>
      <c r="F3" s="50"/>
      <c r="G3" s="50"/>
      <c r="H3" s="50"/>
      <c r="I3" s="50"/>
      <c r="J3" s="50"/>
      <c r="K3" s="61"/>
      <c r="L3" s="50"/>
      <c r="M3" s="93"/>
    </row>
    <row r="4" spans="1:13" ht="30" customHeight="1">
      <c r="A4" s="52" t="s">
        <v>2</v>
      </c>
      <c r="B4" s="52" t="s">
        <v>1</v>
      </c>
      <c r="C4" s="52" t="s">
        <v>3</v>
      </c>
      <c r="D4" s="52" t="s">
        <v>120</v>
      </c>
      <c r="E4" s="52" t="s">
        <v>90</v>
      </c>
      <c r="F4" s="52" t="s">
        <v>91</v>
      </c>
      <c r="G4" s="52" t="s">
        <v>140</v>
      </c>
      <c r="H4" s="52" t="s">
        <v>127</v>
      </c>
      <c r="I4" s="52" t="s">
        <v>119</v>
      </c>
      <c r="J4" s="52" t="s">
        <v>159</v>
      </c>
      <c r="K4" s="52" t="s">
        <v>121</v>
      </c>
      <c r="L4" s="52" t="s">
        <v>122</v>
      </c>
      <c r="M4" s="94" t="s">
        <v>123</v>
      </c>
    </row>
    <row r="5" spans="1:14" s="56" customFormat="1" ht="15" customHeight="1">
      <c r="A5" s="352"/>
      <c r="B5" s="353"/>
      <c r="C5" s="354"/>
      <c r="D5" s="96">
        <v>1</v>
      </c>
      <c r="E5" s="97"/>
      <c r="F5" s="97">
        <v>1</v>
      </c>
      <c r="G5" s="97">
        <v>1</v>
      </c>
      <c r="H5" s="97"/>
      <c r="I5" s="97">
        <v>1928</v>
      </c>
      <c r="J5" s="98"/>
      <c r="K5" s="99" t="s">
        <v>152</v>
      </c>
      <c r="L5" s="100">
        <v>32.5</v>
      </c>
      <c r="M5" s="101">
        <f aca="true" t="shared" si="0" ref="M5:M13">$M$165/$L$165*L5</f>
        <v>910.2236230385719</v>
      </c>
      <c r="N5" s="102"/>
    </row>
    <row r="6" spans="1:14" s="56" customFormat="1" ht="15" customHeight="1">
      <c r="A6" s="352"/>
      <c r="B6" s="353"/>
      <c r="C6" s="354"/>
      <c r="D6" s="96">
        <v>1</v>
      </c>
      <c r="E6" s="97"/>
      <c r="F6" s="97">
        <v>1</v>
      </c>
      <c r="G6" s="97">
        <v>1</v>
      </c>
      <c r="H6" s="97"/>
      <c r="I6" s="97">
        <v>1926</v>
      </c>
      <c r="J6" s="98"/>
      <c r="K6" s="99" t="s">
        <v>152</v>
      </c>
      <c r="L6" s="100">
        <v>28.75</v>
      </c>
      <c r="M6" s="101">
        <f t="shared" si="0"/>
        <v>805.1978203802751</v>
      </c>
      <c r="N6" s="102"/>
    </row>
    <row r="7" spans="1:14" s="56" customFormat="1" ht="15" customHeight="1">
      <c r="A7" s="352"/>
      <c r="B7" s="353"/>
      <c r="C7" s="354"/>
      <c r="D7" s="96">
        <v>1</v>
      </c>
      <c r="E7" s="97">
        <v>1</v>
      </c>
      <c r="F7" s="97"/>
      <c r="G7" s="97">
        <v>1</v>
      </c>
      <c r="H7" s="97"/>
      <c r="I7" s="97">
        <v>1946</v>
      </c>
      <c r="J7" s="98"/>
      <c r="K7" s="99" t="s">
        <v>152</v>
      </c>
      <c r="L7" s="100">
        <v>36.25</v>
      </c>
      <c r="M7" s="101">
        <f t="shared" si="0"/>
        <v>1015.2494256968686</v>
      </c>
      <c r="N7" s="102"/>
    </row>
    <row r="8" spans="1:14" s="56" customFormat="1" ht="15" customHeight="1">
      <c r="A8" s="352"/>
      <c r="B8" s="353"/>
      <c r="C8" s="354"/>
      <c r="D8" s="96">
        <v>1</v>
      </c>
      <c r="E8" s="97"/>
      <c r="F8" s="97">
        <v>1</v>
      </c>
      <c r="G8" s="97">
        <v>1</v>
      </c>
      <c r="H8" s="97"/>
      <c r="I8" s="97">
        <v>1927</v>
      </c>
      <c r="J8" s="98"/>
      <c r="K8" s="99" t="s">
        <v>152</v>
      </c>
      <c r="L8" s="100">
        <v>22.5</v>
      </c>
      <c r="M8" s="101">
        <f t="shared" si="0"/>
        <v>630.1548159497805</v>
      </c>
      <c r="N8" s="102"/>
    </row>
    <row r="9" spans="1:14" s="56" customFormat="1" ht="15" customHeight="1">
      <c r="A9" s="352"/>
      <c r="B9" s="353"/>
      <c r="C9" s="354"/>
      <c r="D9" s="96">
        <v>1</v>
      </c>
      <c r="E9" s="97"/>
      <c r="F9" s="97">
        <v>1</v>
      </c>
      <c r="G9" s="97">
        <v>1</v>
      </c>
      <c r="H9" s="97"/>
      <c r="I9" s="97">
        <v>1928</v>
      </c>
      <c r="J9" s="98"/>
      <c r="K9" s="99" t="s">
        <v>152</v>
      </c>
      <c r="L9" s="100">
        <v>71.3</v>
      </c>
      <c r="M9" s="101">
        <f t="shared" si="0"/>
        <v>1996.8905945430822</v>
      </c>
      <c r="N9" s="102"/>
    </row>
    <row r="10" spans="1:14" s="56" customFormat="1" ht="15" customHeight="1">
      <c r="A10" s="352"/>
      <c r="B10" s="353"/>
      <c r="C10" s="354"/>
      <c r="D10" s="96">
        <v>1</v>
      </c>
      <c r="E10" s="97"/>
      <c r="F10" s="97">
        <v>1</v>
      </c>
      <c r="G10" s="97">
        <v>1</v>
      </c>
      <c r="H10" s="97"/>
      <c r="I10" s="97">
        <v>1936</v>
      </c>
      <c r="J10" s="98"/>
      <c r="K10" s="99" t="s">
        <v>152</v>
      </c>
      <c r="L10" s="100">
        <v>17.5</v>
      </c>
      <c r="M10" s="101">
        <f t="shared" si="0"/>
        <v>490.12041240538485</v>
      </c>
      <c r="N10" s="102"/>
    </row>
    <row r="11" spans="1:14" s="56" customFormat="1" ht="15" customHeight="1">
      <c r="A11" s="352"/>
      <c r="B11" s="352"/>
      <c r="C11" s="354"/>
      <c r="D11" s="96">
        <v>1</v>
      </c>
      <c r="E11" s="97"/>
      <c r="F11" s="97">
        <v>1</v>
      </c>
      <c r="G11" s="97">
        <v>1</v>
      </c>
      <c r="H11" s="97"/>
      <c r="I11" s="97">
        <v>1947</v>
      </c>
      <c r="J11" s="98"/>
      <c r="K11" s="99" t="s">
        <v>152</v>
      </c>
      <c r="L11" s="100">
        <v>65</v>
      </c>
      <c r="M11" s="101">
        <f t="shared" si="0"/>
        <v>1820.4472460771437</v>
      </c>
      <c r="N11" s="102"/>
    </row>
    <row r="12" spans="1:14" s="56" customFormat="1" ht="15" customHeight="1">
      <c r="A12" s="352"/>
      <c r="B12" s="352"/>
      <c r="C12" s="354"/>
      <c r="D12" s="96">
        <v>1</v>
      </c>
      <c r="E12" s="97"/>
      <c r="F12" s="97">
        <v>1</v>
      </c>
      <c r="G12" s="97">
        <v>1</v>
      </c>
      <c r="H12" s="97"/>
      <c r="I12" s="97">
        <v>1923</v>
      </c>
      <c r="J12" s="98"/>
      <c r="K12" s="99" t="s">
        <v>152</v>
      </c>
      <c r="L12" s="100">
        <v>20</v>
      </c>
      <c r="M12" s="101">
        <f t="shared" si="0"/>
        <v>560.1376141775827</v>
      </c>
      <c r="N12" s="102"/>
    </row>
    <row r="13" spans="1:14" s="56" customFormat="1" ht="15" customHeight="1">
      <c r="A13" s="352"/>
      <c r="B13" s="352"/>
      <c r="C13" s="354"/>
      <c r="D13" s="96">
        <v>1</v>
      </c>
      <c r="E13" s="97"/>
      <c r="F13" s="97">
        <v>1</v>
      </c>
      <c r="G13" s="97">
        <v>1</v>
      </c>
      <c r="H13" s="97"/>
      <c r="I13" s="97">
        <v>1922</v>
      </c>
      <c r="J13" s="98"/>
      <c r="K13" s="99" t="s">
        <v>152</v>
      </c>
      <c r="L13" s="100">
        <v>25</v>
      </c>
      <c r="M13" s="101">
        <f t="shared" si="0"/>
        <v>700.1720177219784</v>
      </c>
      <c r="N13" s="102"/>
    </row>
    <row r="14" spans="1:13" ht="15" customHeight="1">
      <c r="A14" s="308" t="s">
        <v>93</v>
      </c>
      <c r="B14" s="308"/>
      <c r="C14" s="68"/>
      <c r="D14" s="68">
        <f>SUM(D5:D13)</f>
        <v>9</v>
      </c>
      <c r="E14" s="103">
        <f>SUM(E5:E13)</f>
        <v>1</v>
      </c>
      <c r="F14" s="103">
        <f>SUM(F5:F13)</f>
        <v>8</v>
      </c>
      <c r="G14" s="103">
        <f>SUM(G5:G13)</f>
        <v>9</v>
      </c>
      <c r="H14" s="103">
        <f>SUM(H5:H13)</f>
        <v>0</v>
      </c>
      <c r="I14" s="103"/>
      <c r="J14" s="103"/>
      <c r="K14" s="68"/>
      <c r="L14" s="104">
        <f>SUM(L5:L13)</f>
        <v>318.8</v>
      </c>
      <c r="M14" s="105">
        <f>SUM(M5:M13)</f>
        <v>8928.593569990668</v>
      </c>
    </row>
    <row r="15" spans="1:13" ht="15" customHeight="1">
      <c r="A15" s="381" t="s">
        <v>78</v>
      </c>
      <c r="B15" s="381"/>
      <c r="C15" s="48"/>
      <c r="D15" s="51"/>
      <c r="E15" s="106"/>
      <c r="F15" s="106"/>
      <c r="G15" s="106"/>
      <c r="H15" s="106"/>
      <c r="I15" s="106"/>
      <c r="J15" s="106"/>
      <c r="K15" s="51"/>
      <c r="L15" s="107"/>
      <c r="M15" s="108"/>
    </row>
    <row r="16" spans="1:13" ht="30" customHeight="1">
      <c r="A16" s="52" t="s">
        <v>2</v>
      </c>
      <c r="B16" s="52" t="s">
        <v>1</v>
      </c>
      <c r="C16" s="52" t="s">
        <v>3</v>
      </c>
      <c r="D16" s="52" t="s">
        <v>120</v>
      </c>
      <c r="E16" s="52" t="s">
        <v>90</v>
      </c>
      <c r="F16" s="52" t="s">
        <v>91</v>
      </c>
      <c r="G16" s="52" t="s">
        <v>140</v>
      </c>
      <c r="H16" s="52" t="s">
        <v>127</v>
      </c>
      <c r="I16" s="52" t="s">
        <v>119</v>
      </c>
      <c r="J16" s="52" t="s">
        <v>159</v>
      </c>
      <c r="K16" s="52" t="s">
        <v>121</v>
      </c>
      <c r="L16" s="52" t="s">
        <v>122</v>
      </c>
      <c r="M16" s="94" t="s">
        <v>123</v>
      </c>
    </row>
    <row r="17" spans="1:13" ht="15" customHeight="1">
      <c r="A17" s="353"/>
      <c r="B17" s="353"/>
      <c r="C17" s="354"/>
      <c r="D17" s="109">
        <v>1</v>
      </c>
      <c r="E17" s="110"/>
      <c r="F17" s="110">
        <v>1</v>
      </c>
      <c r="G17" s="111">
        <v>1</v>
      </c>
      <c r="H17" s="110"/>
      <c r="I17" s="97">
        <v>1932</v>
      </c>
      <c r="J17" s="55"/>
      <c r="K17" s="112" t="s">
        <v>152</v>
      </c>
      <c r="L17" s="113">
        <v>6.67</v>
      </c>
      <c r="M17" s="101">
        <f aca="true" t="shared" si="1" ref="M17:M50">$M$165/$L$165*L17</f>
        <v>186.80589432822381</v>
      </c>
    </row>
    <row r="18" spans="1:13" ht="14.25" customHeight="1">
      <c r="A18" s="353"/>
      <c r="B18" s="353"/>
      <c r="C18" s="354"/>
      <c r="D18" s="109">
        <v>1</v>
      </c>
      <c r="E18" s="110">
        <v>1</v>
      </c>
      <c r="F18" s="110"/>
      <c r="G18" s="111">
        <v>1</v>
      </c>
      <c r="H18" s="110"/>
      <c r="I18" s="97">
        <v>1911</v>
      </c>
      <c r="J18" s="55"/>
      <c r="K18" s="112" t="s">
        <v>152</v>
      </c>
      <c r="L18" s="113">
        <v>25.5</v>
      </c>
      <c r="M18" s="101">
        <f t="shared" si="1"/>
        <v>714.175458076418</v>
      </c>
    </row>
    <row r="19" spans="1:13" ht="15" customHeight="1">
      <c r="A19" s="353"/>
      <c r="B19" s="353"/>
      <c r="C19" s="354"/>
      <c r="D19" s="109">
        <v>1</v>
      </c>
      <c r="E19" s="110">
        <v>1</v>
      </c>
      <c r="F19" s="110"/>
      <c r="G19" s="111">
        <v>1</v>
      </c>
      <c r="H19" s="110"/>
      <c r="I19" s="97">
        <v>1923</v>
      </c>
      <c r="J19" s="55"/>
      <c r="K19" s="112" t="s">
        <v>152</v>
      </c>
      <c r="L19" s="113">
        <v>43.96</v>
      </c>
      <c r="M19" s="101">
        <f t="shared" si="1"/>
        <v>1231.1824759623266</v>
      </c>
    </row>
    <row r="20" spans="1:13" ht="15" customHeight="1">
      <c r="A20" s="353"/>
      <c r="B20" s="353"/>
      <c r="C20" s="354"/>
      <c r="D20" s="109">
        <v>1</v>
      </c>
      <c r="E20" s="110">
        <v>1</v>
      </c>
      <c r="F20" s="110"/>
      <c r="G20" s="111">
        <v>1</v>
      </c>
      <c r="H20" s="110"/>
      <c r="I20" s="97">
        <v>1935</v>
      </c>
      <c r="J20" s="55"/>
      <c r="K20" s="112" t="s">
        <v>152</v>
      </c>
      <c r="L20" s="113">
        <v>37.33</v>
      </c>
      <c r="M20" s="101">
        <f t="shared" si="1"/>
        <v>1045.4968568624581</v>
      </c>
    </row>
    <row r="21" spans="1:13" ht="15" customHeight="1">
      <c r="A21" s="353"/>
      <c r="B21" s="353"/>
      <c r="C21" s="354"/>
      <c r="D21" s="109">
        <v>1</v>
      </c>
      <c r="E21" s="110"/>
      <c r="F21" s="110">
        <v>1</v>
      </c>
      <c r="G21" s="111">
        <v>1</v>
      </c>
      <c r="H21" s="110"/>
      <c r="I21" s="97">
        <v>1934</v>
      </c>
      <c r="J21" s="55"/>
      <c r="K21" s="112" t="s">
        <v>152</v>
      </c>
      <c r="L21" s="113">
        <v>12</v>
      </c>
      <c r="M21" s="101">
        <f t="shared" si="1"/>
        <v>336.0825685065496</v>
      </c>
    </row>
    <row r="22" spans="1:13" ht="15" customHeight="1">
      <c r="A22" s="353"/>
      <c r="B22" s="353"/>
      <c r="C22" s="354"/>
      <c r="D22" s="109">
        <v>1</v>
      </c>
      <c r="E22" s="110"/>
      <c r="F22" s="110">
        <v>1</v>
      </c>
      <c r="G22" s="111">
        <v>1</v>
      </c>
      <c r="H22" s="110"/>
      <c r="I22" s="97">
        <v>1931</v>
      </c>
      <c r="J22" s="55"/>
      <c r="K22" s="112" t="s">
        <v>152</v>
      </c>
      <c r="L22" s="113">
        <v>33.34</v>
      </c>
      <c r="M22" s="101">
        <f t="shared" si="1"/>
        <v>933.7494028340304</v>
      </c>
    </row>
    <row r="23" spans="1:13" ht="15" customHeight="1">
      <c r="A23" s="353"/>
      <c r="B23" s="353"/>
      <c r="C23" s="354"/>
      <c r="D23" s="109">
        <v>1</v>
      </c>
      <c r="E23" s="110">
        <v>1</v>
      </c>
      <c r="F23" s="110"/>
      <c r="G23" s="111">
        <v>1</v>
      </c>
      <c r="H23" s="110"/>
      <c r="I23" s="97">
        <v>1934</v>
      </c>
      <c r="J23" s="55"/>
      <c r="K23" s="112" t="s">
        <v>152</v>
      </c>
      <c r="L23" s="113">
        <v>21.3</v>
      </c>
      <c r="M23" s="101">
        <f t="shared" si="1"/>
        <v>596.5465590991256</v>
      </c>
    </row>
    <row r="24" spans="1:13" ht="15" customHeight="1">
      <c r="A24" s="353"/>
      <c r="B24" s="353"/>
      <c r="C24" s="354"/>
      <c r="D24" s="109">
        <v>1</v>
      </c>
      <c r="E24" s="110"/>
      <c r="F24" s="110">
        <v>1</v>
      </c>
      <c r="G24" s="111">
        <v>1</v>
      </c>
      <c r="H24" s="110"/>
      <c r="I24" s="97">
        <v>1924</v>
      </c>
      <c r="J24" s="55"/>
      <c r="K24" s="112" t="s">
        <v>152</v>
      </c>
      <c r="L24" s="113">
        <v>84.13</v>
      </c>
      <c r="M24" s="101">
        <f t="shared" si="1"/>
        <v>2356.2188740380016</v>
      </c>
    </row>
    <row r="25" spans="1:13" ht="15" customHeight="1">
      <c r="A25" s="353"/>
      <c r="B25" s="353"/>
      <c r="C25" s="354"/>
      <c r="D25" s="109">
        <v>1</v>
      </c>
      <c r="E25" s="110">
        <v>1</v>
      </c>
      <c r="F25" s="110"/>
      <c r="G25" s="111">
        <v>1</v>
      </c>
      <c r="H25" s="110"/>
      <c r="I25" s="97">
        <v>1947</v>
      </c>
      <c r="J25" s="55"/>
      <c r="K25" s="112" t="s">
        <v>152</v>
      </c>
      <c r="L25" s="113">
        <v>90</v>
      </c>
      <c r="M25" s="101">
        <f t="shared" si="1"/>
        <v>2520.619263799122</v>
      </c>
    </row>
    <row r="26" spans="1:13" ht="15" customHeight="1">
      <c r="A26" s="353"/>
      <c r="B26" s="353"/>
      <c r="C26" s="354"/>
      <c r="D26" s="109">
        <v>1</v>
      </c>
      <c r="E26" s="110">
        <v>1</v>
      </c>
      <c r="F26" s="110"/>
      <c r="G26" s="111">
        <v>1</v>
      </c>
      <c r="H26" s="110"/>
      <c r="I26" s="97">
        <v>1922</v>
      </c>
      <c r="J26" s="55"/>
      <c r="K26" s="112" t="s">
        <v>152</v>
      </c>
      <c r="L26" s="113">
        <v>39.42</v>
      </c>
      <c r="M26" s="101">
        <f t="shared" si="1"/>
        <v>1104.0312375440155</v>
      </c>
    </row>
    <row r="27" spans="1:13" ht="15" customHeight="1">
      <c r="A27" s="353"/>
      <c r="B27" s="353"/>
      <c r="C27" s="354"/>
      <c r="D27" s="109">
        <v>1</v>
      </c>
      <c r="E27" s="110">
        <v>1</v>
      </c>
      <c r="F27" s="110"/>
      <c r="G27" s="111">
        <v>1</v>
      </c>
      <c r="H27" s="110"/>
      <c r="I27" s="97">
        <v>1933</v>
      </c>
      <c r="J27" s="55"/>
      <c r="K27" s="112" t="s">
        <v>152</v>
      </c>
      <c r="L27" s="113">
        <v>8.5</v>
      </c>
      <c r="M27" s="101">
        <f t="shared" si="1"/>
        <v>238.05848602547263</v>
      </c>
    </row>
    <row r="28" spans="1:13" ht="15" customHeight="1">
      <c r="A28" s="353"/>
      <c r="B28" s="353"/>
      <c r="C28" s="354"/>
      <c r="D28" s="109">
        <v>1</v>
      </c>
      <c r="E28" s="110"/>
      <c r="F28" s="110">
        <v>1</v>
      </c>
      <c r="G28" s="111">
        <v>1</v>
      </c>
      <c r="H28" s="110"/>
      <c r="I28" s="97">
        <v>1924</v>
      </c>
      <c r="J28" s="55"/>
      <c r="K28" s="112" t="s">
        <v>152</v>
      </c>
      <c r="L28" s="113">
        <v>33.4</v>
      </c>
      <c r="M28" s="101">
        <f t="shared" si="1"/>
        <v>935.4298156765631</v>
      </c>
    </row>
    <row r="29" spans="1:13" ht="15" customHeight="1">
      <c r="A29" s="353"/>
      <c r="B29" s="353"/>
      <c r="C29" s="354"/>
      <c r="D29" s="109">
        <v>1</v>
      </c>
      <c r="E29" s="110">
        <v>1</v>
      </c>
      <c r="F29" s="110"/>
      <c r="G29" s="111">
        <v>1</v>
      </c>
      <c r="H29" s="110"/>
      <c r="I29" s="97">
        <v>1946</v>
      </c>
      <c r="J29" s="55"/>
      <c r="K29" s="112" t="s">
        <v>152</v>
      </c>
      <c r="L29" s="113">
        <v>15</v>
      </c>
      <c r="M29" s="101">
        <f t="shared" si="1"/>
        <v>420.103210633187</v>
      </c>
    </row>
    <row r="30" spans="1:13" ht="15" customHeight="1">
      <c r="A30" s="353"/>
      <c r="B30" s="353"/>
      <c r="C30" s="354"/>
      <c r="D30" s="109">
        <v>1</v>
      </c>
      <c r="E30" s="110">
        <v>1</v>
      </c>
      <c r="F30" s="110"/>
      <c r="G30" s="111">
        <v>1</v>
      </c>
      <c r="H30" s="110"/>
      <c r="I30" s="97">
        <v>1943</v>
      </c>
      <c r="J30" s="55"/>
      <c r="K30" s="112" t="s">
        <v>152</v>
      </c>
      <c r="L30" s="113">
        <v>25</v>
      </c>
      <c r="M30" s="101">
        <f t="shared" si="1"/>
        <v>700.1720177219784</v>
      </c>
    </row>
    <row r="31" spans="1:13" ht="15" customHeight="1">
      <c r="A31" s="352"/>
      <c r="B31" s="352"/>
      <c r="C31" s="354"/>
      <c r="D31" s="109">
        <v>1</v>
      </c>
      <c r="E31" s="110"/>
      <c r="F31" s="110">
        <v>1</v>
      </c>
      <c r="G31" s="111">
        <v>1</v>
      </c>
      <c r="H31" s="110"/>
      <c r="I31" s="97">
        <v>1926</v>
      </c>
      <c r="J31" s="55"/>
      <c r="K31" s="112" t="s">
        <v>152</v>
      </c>
      <c r="L31" s="113">
        <v>18</v>
      </c>
      <c r="M31" s="101">
        <f t="shared" si="1"/>
        <v>504.1238527598244</v>
      </c>
    </row>
    <row r="32" spans="1:13" ht="15" customHeight="1">
      <c r="A32" s="352"/>
      <c r="B32" s="352"/>
      <c r="C32" s="354"/>
      <c r="D32" s="109">
        <v>1</v>
      </c>
      <c r="E32" s="110">
        <v>1</v>
      </c>
      <c r="F32" s="110"/>
      <c r="G32" s="111">
        <v>1</v>
      </c>
      <c r="H32" s="110"/>
      <c r="I32" s="97">
        <v>1929</v>
      </c>
      <c r="J32" s="55"/>
      <c r="K32" s="112" t="s">
        <v>152</v>
      </c>
      <c r="L32" s="113">
        <v>19.5</v>
      </c>
      <c r="M32" s="101">
        <f t="shared" si="1"/>
        <v>546.1341738231431</v>
      </c>
    </row>
    <row r="33" spans="1:13" ht="15" customHeight="1">
      <c r="A33" s="352"/>
      <c r="B33" s="352"/>
      <c r="C33" s="354"/>
      <c r="D33" s="109">
        <v>1</v>
      </c>
      <c r="E33" s="110"/>
      <c r="F33" s="110">
        <v>1</v>
      </c>
      <c r="G33" s="111">
        <v>1</v>
      </c>
      <c r="H33" s="110"/>
      <c r="I33" s="97">
        <v>1933</v>
      </c>
      <c r="J33" s="55"/>
      <c r="K33" s="112" t="s">
        <v>152</v>
      </c>
      <c r="L33" s="113">
        <v>70.63</v>
      </c>
      <c r="M33" s="101">
        <f t="shared" si="1"/>
        <v>1978.125984468133</v>
      </c>
    </row>
    <row r="34" spans="1:13" ht="15" customHeight="1">
      <c r="A34" s="352"/>
      <c r="B34" s="352"/>
      <c r="C34" s="354"/>
      <c r="D34" s="109">
        <v>1</v>
      </c>
      <c r="E34" s="110">
        <v>1</v>
      </c>
      <c r="F34" s="110"/>
      <c r="G34" s="111">
        <v>1</v>
      </c>
      <c r="H34" s="110"/>
      <c r="I34" s="97">
        <v>1923</v>
      </c>
      <c r="J34" s="55"/>
      <c r="K34" s="112" t="s">
        <v>152</v>
      </c>
      <c r="L34" s="113">
        <v>61.63</v>
      </c>
      <c r="M34" s="101">
        <f t="shared" si="1"/>
        <v>1726.0640580882211</v>
      </c>
    </row>
    <row r="35" spans="1:13" ht="15" customHeight="1">
      <c r="A35" s="352"/>
      <c r="B35" s="352"/>
      <c r="C35" s="354"/>
      <c r="D35" s="109">
        <v>1</v>
      </c>
      <c r="E35" s="110">
        <v>1</v>
      </c>
      <c r="F35" s="110"/>
      <c r="G35" s="111">
        <v>1</v>
      </c>
      <c r="H35" s="110"/>
      <c r="I35" s="97">
        <v>1945</v>
      </c>
      <c r="J35" s="55"/>
      <c r="K35" s="112" t="s">
        <v>152</v>
      </c>
      <c r="L35" s="113">
        <v>24.45</v>
      </c>
      <c r="M35" s="101">
        <f t="shared" si="1"/>
        <v>684.7682333320948</v>
      </c>
    </row>
    <row r="36" spans="1:13" ht="15" customHeight="1">
      <c r="A36" s="352"/>
      <c r="B36" s="352"/>
      <c r="C36" s="354"/>
      <c r="D36" s="109">
        <v>1</v>
      </c>
      <c r="E36" s="110"/>
      <c r="F36" s="110">
        <v>1</v>
      </c>
      <c r="G36" s="111">
        <v>1</v>
      </c>
      <c r="H36" s="110"/>
      <c r="I36" s="97">
        <v>1935</v>
      </c>
      <c r="J36" s="55"/>
      <c r="K36" s="112" t="s">
        <v>152</v>
      </c>
      <c r="L36" s="113">
        <v>38.17</v>
      </c>
      <c r="M36" s="101">
        <f t="shared" si="1"/>
        <v>1069.0226366579166</v>
      </c>
    </row>
    <row r="37" spans="1:13" ht="15" customHeight="1">
      <c r="A37" s="355"/>
      <c r="B37" s="355"/>
      <c r="C37" s="354"/>
      <c r="D37" s="109">
        <v>1</v>
      </c>
      <c r="E37" s="110"/>
      <c r="F37" s="110">
        <v>1</v>
      </c>
      <c r="G37" s="111">
        <v>1</v>
      </c>
      <c r="H37" s="110"/>
      <c r="I37" s="97">
        <v>1934</v>
      </c>
      <c r="J37" s="55"/>
      <c r="K37" s="112" t="s">
        <v>152</v>
      </c>
      <c r="L37" s="113">
        <v>184.17</v>
      </c>
      <c r="M37" s="101">
        <f t="shared" si="1"/>
        <v>5158.027220154269</v>
      </c>
    </row>
    <row r="38" spans="1:13" ht="15" customHeight="1">
      <c r="A38" s="355"/>
      <c r="B38" s="355"/>
      <c r="C38" s="354"/>
      <c r="D38" s="109">
        <v>1</v>
      </c>
      <c r="E38" s="110"/>
      <c r="F38" s="110">
        <v>1</v>
      </c>
      <c r="G38" s="111">
        <v>1</v>
      </c>
      <c r="H38" s="110"/>
      <c r="I38" s="97">
        <v>1940</v>
      </c>
      <c r="J38" s="55"/>
      <c r="K38" s="112" t="s">
        <v>152</v>
      </c>
      <c r="L38" s="113">
        <v>63.5</v>
      </c>
      <c r="M38" s="101">
        <f t="shared" si="1"/>
        <v>1778.436925013825</v>
      </c>
    </row>
    <row r="39" spans="1:13" ht="15" customHeight="1">
      <c r="A39" s="355"/>
      <c r="B39" s="355"/>
      <c r="C39" s="354"/>
      <c r="D39" s="109">
        <v>1</v>
      </c>
      <c r="E39" s="110"/>
      <c r="F39" s="110">
        <v>1</v>
      </c>
      <c r="G39" s="111">
        <v>1</v>
      </c>
      <c r="H39" s="110"/>
      <c r="I39" s="97">
        <v>1945</v>
      </c>
      <c r="J39" s="55"/>
      <c r="K39" s="112" t="s">
        <v>152</v>
      </c>
      <c r="L39" s="113">
        <v>57.33</v>
      </c>
      <c r="M39" s="101">
        <f t="shared" si="1"/>
        <v>1605.6344710400408</v>
      </c>
    </row>
    <row r="40" spans="1:13" ht="15" customHeight="1">
      <c r="A40" s="355"/>
      <c r="B40" s="355"/>
      <c r="C40" s="354"/>
      <c r="D40" s="109">
        <v>1</v>
      </c>
      <c r="E40" s="110"/>
      <c r="F40" s="110">
        <v>1</v>
      </c>
      <c r="G40" s="111">
        <v>1</v>
      </c>
      <c r="H40" s="110"/>
      <c r="I40" s="97">
        <v>1925</v>
      </c>
      <c r="J40" s="55"/>
      <c r="K40" s="112" t="s">
        <v>152</v>
      </c>
      <c r="L40" s="113">
        <v>55</v>
      </c>
      <c r="M40" s="101">
        <f t="shared" si="1"/>
        <v>1540.3784389883524</v>
      </c>
    </row>
    <row r="41" spans="1:13" ht="15" customHeight="1">
      <c r="A41" s="356"/>
      <c r="B41" s="356"/>
      <c r="C41" s="354"/>
      <c r="D41" s="109">
        <v>1</v>
      </c>
      <c r="E41" s="110"/>
      <c r="F41" s="110">
        <v>1</v>
      </c>
      <c r="G41" s="111">
        <v>1</v>
      </c>
      <c r="H41" s="110"/>
      <c r="I41" s="97">
        <v>1932</v>
      </c>
      <c r="J41" s="55"/>
      <c r="K41" s="112" t="s">
        <v>152</v>
      </c>
      <c r="L41" s="113">
        <v>40</v>
      </c>
      <c r="M41" s="101">
        <f t="shared" si="1"/>
        <v>1120.2752283551654</v>
      </c>
    </row>
    <row r="42" spans="1:13" ht="15" customHeight="1">
      <c r="A42" s="355"/>
      <c r="B42" s="355"/>
      <c r="C42" s="354"/>
      <c r="D42" s="109">
        <v>1</v>
      </c>
      <c r="E42" s="110">
        <v>1</v>
      </c>
      <c r="F42" s="110"/>
      <c r="G42" s="111">
        <v>1</v>
      </c>
      <c r="H42" s="110"/>
      <c r="I42" s="97">
        <v>1921</v>
      </c>
      <c r="J42" s="55"/>
      <c r="K42" s="112" t="s">
        <v>152</v>
      </c>
      <c r="L42" s="113">
        <v>38.67</v>
      </c>
      <c r="M42" s="101">
        <f t="shared" si="1"/>
        <v>1083.0260770123562</v>
      </c>
    </row>
    <row r="43" spans="1:13" ht="15" customHeight="1">
      <c r="A43" s="355"/>
      <c r="B43" s="355"/>
      <c r="C43" s="354"/>
      <c r="D43" s="109">
        <v>1</v>
      </c>
      <c r="E43" s="110">
        <v>1</v>
      </c>
      <c r="F43" s="110"/>
      <c r="G43" s="111">
        <v>1</v>
      </c>
      <c r="H43" s="110"/>
      <c r="I43" s="97">
        <v>1927</v>
      </c>
      <c r="J43" s="55"/>
      <c r="K43" s="112" t="s">
        <v>152</v>
      </c>
      <c r="L43" s="113">
        <v>37.34</v>
      </c>
      <c r="M43" s="101">
        <f t="shared" si="1"/>
        <v>1045.776925669547</v>
      </c>
    </row>
    <row r="44" spans="1:13" ht="15" customHeight="1">
      <c r="A44" s="355"/>
      <c r="B44" s="355"/>
      <c r="C44" s="354"/>
      <c r="D44" s="109">
        <v>1</v>
      </c>
      <c r="E44" s="110"/>
      <c r="F44" s="110">
        <v>1</v>
      </c>
      <c r="G44" s="111">
        <v>1</v>
      </c>
      <c r="H44" s="110"/>
      <c r="I44" s="97">
        <v>1920</v>
      </c>
      <c r="J44" s="55"/>
      <c r="K44" s="112" t="s">
        <v>152</v>
      </c>
      <c r="L44" s="113">
        <v>127</v>
      </c>
      <c r="M44" s="101">
        <f t="shared" si="1"/>
        <v>3556.87385002765</v>
      </c>
    </row>
    <row r="45" spans="1:13" ht="15" customHeight="1">
      <c r="A45" s="355"/>
      <c r="B45" s="355"/>
      <c r="C45" s="354"/>
      <c r="D45" s="109">
        <v>1</v>
      </c>
      <c r="E45" s="110"/>
      <c r="F45" s="110">
        <v>1</v>
      </c>
      <c r="G45" s="111">
        <v>1</v>
      </c>
      <c r="H45" s="110"/>
      <c r="I45" s="97">
        <v>1939</v>
      </c>
      <c r="J45" s="55"/>
      <c r="K45" s="112" t="s">
        <v>152</v>
      </c>
      <c r="L45" s="113">
        <v>23.7</v>
      </c>
      <c r="M45" s="101">
        <f t="shared" si="1"/>
        <v>663.7630728004355</v>
      </c>
    </row>
    <row r="46" spans="1:13" ht="15" customHeight="1">
      <c r="A46" s="355"/>
      <c r="B46" s="355"/>
      <c r="C46" s="354"/>
      <c r="D46" s="109">
        <v>1</v>
      </c>
      <c r="E46" s="110"/>
      <c r="F46" s="110">
        <v>1</v>
      </c>
      <c r="G46" s="111">
        <v>1</v>
      </c>
      <c r="H46" s="110"/>
      <c r="I46" s="97">
        <v>1933</v>
      </c>
      <c r="J46" s="55"/>
      <c r="K46" s="112" t="s">
        <v>152</v>
      </c>
      <c r="L46" s="113">
        <v>14.67</v>
      </c>
      <c r="M46" s="101">
        <f t="shared" si="1"/>
        <v>410.8609399992569</v>
      </c>
    </row>
    <row r="47" spans="1:13" ht="15" customHeight="1">
      <c r="A47" s="355"/>
      <c r="B47" s="355"/>
      <c r="C47" s="354"/>
      <c r="D47" s="109">
        <v>1</v>
      </c>
      <c r="E47" s="110"/>
      <c r="F47" s="110">
        <v>1</v>
      </c>
      <c r="G47" s="111">
        <v>1</v>
      </c>
      <c r="H47" s="110"/>
      <c r="I47" s="97">
        <v>1933</v>
      </c>
      <c r="J47" s="55"/>
      <c r="K47" s="112" t="s">
        <v>152</v>
      </c>
      <c r="L47" s="113">
        <v>20</v>
      </c>
      <c r="M47" s="101">
        <f t="shared" si="1"/>
        <v>560.1376141775827</v>
      </c>
    </row>
    <row r="48" spans="1:13" ht="15" customHeight="1">
      <c r="A48" s="355"/>
      <c r="B48" s="355"/>
      <c r="C48" s="354"/>
      <c r="D48" s="109">
        <v>1</v>
      </c>
      <c r="E48" s="110"/>
      <c r="F48" s="110">
        <v>1</v>
      </c>
      <c r="G48" s="111">
        <v>1</v>
      </c>
      <c r="H48" s="110"/>
      <c r="I48" s="97">
        <v>1936</v>
      </c>
      <c r="J48" s="55"/>
      <c r="K48" s="112" t="s">
        <v>152</v>
      </c>
      <c r="L48" s="113">
        <v>12</v>
      </c>
      <c r="M48" s="101">
        <f t="shared" si="1"/>
        <v>336.0825685065496</v>
      </c>
    </row>
    <row r="49" spans="1:13" ht="15" customHeight="1">
      <c r="A49" s="355"/>
      <c r="B49" s="355"/>
      <c r="C49" s="354"/>
      <c r="D49" s="109">
        <v>1</v>
      </c>
      <c r="E49" s="110"/>
      <c r="F49" s="110">
        <v>1</v>
      </c>
      <c r="G49" s="111">
        <v>1</v>
      </c>
      <c r="H49" s="110"/>
      <c r="I49" s="97">
        <v>1939</v>
      </c>
      <c r="J49" s="55"/>
      <c r="K49" s="112" t="s">
        <v>152</v>
      </c>
      <c r="L49" s="113">
        <v>8</v>
      </c>
      <c r="M49" s="101">
        <f t="shared" si="1"/>
        <v>224.05504567103307</v>
      </c>
    </row>
    <row r="50" spans="1:13" ht="15" customHeight="1">
      <c r="A50" s="355"/>
      <c r="B50" s="355"/>
      <c r="C50" s="354"/>
      <c r="D50" s="109">
        <v>1</v>
      </c>
      <c r="E50" s="110"/>
      <c r="F50" s="110">
        <v>1</v>
      </c>
      <c r="G50" s="111">
        <v>1</v>
      </c>
      <c r="H50" s="110"/>
      <c r="I50" s="97">
        <v>1929</v>
      </c>
      <c r="J50" s="55"/>
      <c r="K50" s="112" t="s">
        <v>152</v>
      </c>
      <c r="L50" s="113">
        <v>48.33</v>
      </c>
      <c r="M50" s="101">
        <f t="shared" si="1"/>
        <v>1353.5725446601284</v>
      </c>
    </row>
    <row r="51" spans="1:13" ht="15" customHeight="1">
      <c r="A51" s="308" t="s">
        <v>94</v>
      </c>
      <c r="B51" s="308"/>
      <c r="C51" s="68"/>
      <c r="D51" s="68">
        <f>SUM(D17:D50)</f>
        <v>34</v>
      </c>
      <c r="E51" s="68">
        <f>SUM(E17:E50)</f>
        <v>14</v>
      </c>
      <c r="F51" s="68">
        <f>SUM(F17:F50)</f>
        <v>20</v>
      </c>
      <c r="G51" s="68">
        <f>SUM(G17:G50)</f>
        <v>34</v>
      </c>
      <c r="H51" s="68">
        <f>SUM(H17:H50)</f>
        <v>0</v>
      </c>
      <c r="I51" s="68"/>
      <c r="J51" s="68"/>
      <c r="K51" s="68"/>
      <c r="L51" s="68">
        <f>SUM(L17:L50)</f>
        <v>1437.6399999999999</v>
      </c>
      <c r="M51" s="105">
        <f>SUM(M17:M50)</f>
        <v>40263.811982313004</v>
      </c>
    </row>
    <row r="52" spans="1:13" ht="15" customHeight="1">
      <c r="A52" s="381" t="s">
        <v>79</v>
      </c>
      <c r="B52" s="381"/>
      <c r="C52" s="48"/>
      <c r="D52" s="51"/>
      <c r="E52" s="51"/>
      <c r="F52" s="51"/>
      <c r="G52" s="51"/>
      <c r="H52" s="51"/>
      <c r="I52" s="51"/>
      <c r="J52" s="51"/>
      <c r="K52" s="51"/>
      <c r="L52" s="114"/>
      <c r="M52" s="108"/>
    </row>
    <row r="53" spans="1:13" ht="30" customHeight="1">
      <c r="A53" s="52" t="s">
        <v>2</v>
      </c>
      <c r="B53" s="52" t="s">
        <v>1</v>
      </c>
      <c r="C53" s="52" t="s">
        <v>3</v>
      </c>
      <c r="D53" s="52" t="s">
        <v>120</v>
      </c>
      <c r="E53" s="52" t="s">
        <v>90</v>
      </c>
      <c r="F53" s="52" t="s">
        <v>91</v>
      </c>
      <c r="G53" s="52" t="s">
        <v>140</v>
      </c>
      <c r="H53" s="52" t="s">
        <v>127</v>
      </c>
      <c r="I53" s="52" t="s">
        <v>119</v>
      </c>
      <c r="J53" s="52" t="s">
        <v>159</v>
      </c>
      <c r="K53" s="52" t="s">
        <v>121</v>
      </c>
      <c r="L53" s="52" t="s">
        <v>122</v>
      </c>
      <c r="M53" s="94" t="s">
        <v>123</v>
      </c>
    </row>
    <row r="54" spans="1:13" ht="15" customHeight="1">
      <c r="A54" s="354"/>
      <c r="B54" s="354"/>
      <c r="C54" s="354"/>
      <c r="D54" s="109">
        <v>1</v>
      </c>
      <c r="E54" s="110"/>
      <c r="F54" s="110">
        <v>1</v>
      </c>
      <c r="G54" s="110">
        <v>1</v>
      </c>
      <c r="H54" s="110"/>
      <c r="I54" s="97">
        <v>1912</v>
      </c>
      <c r="J54" s="55"/>
      <c r="K54" s="112" t="s">
        <v>152</v>
      </c>
      <c r="L54" s="113">
        <v>15</v>
      </c>
      <c r="M54" s="101">
        <f>$M$165/$L$165*L54</f>
        <v>420.103210633187</v>
      </c>
    </row>
    <row r="55" spans="1:13" ht="15" customHeight="1">
      <c r="A55" s="354"/>
      <c r="B55" s="354"/>
      <c r="C55" s="354"/>
      <c r="D55" s="109">
        <v>1</v>
      </c>
      <c r="E55" s="110"/>
      <c r="F55" s="110">
        <v>1</v>
      </c>
      <c r="G55" s="110">
        <v>1</v>
      </c>
      <c r="H55" s="110"/>
      <c r="I55" s="97">
        <v>1927</v>
      </c>
      <c r="J55" s="55"/>
      <c r="K55" s="112" t="s">
        <v>152</v>
      </c>
      <c r="L55" s="113">
        <v>21</v>
      </c>
      <c r="M55" s="101">
        <f>$M$165/$L$165*L55</f>
        <v>588.1444948864618</v>
      </c>
    </row>
    <row r="56" spans="1:13" ht="15" customHeight="1">
      <c r="A56" s="354"/>
      <c r="B56" s="354"/>
      <c r="C56" s="354"/>
      <c r="D56" s="109">
        <v>1</v>
      </c>
      <c r="E56" s="110"/>
      <c r="F56" s="110">
        <v>1</v>
      </c>
      <c r="G56" s="110">
        <v>1</v>
      </c>
      <c r="H56" s="110"/>
      <c r="I56" s="99">
        <v>1937</v>
      </c>
      <c r="J56" s="55"/>
      <c r="K56" s="112" t="s">
        <v>152</v>
      </c>
      <c r="L56" s="113">
        <v>18</v>
      </c>
      <c r="M56" s="101">
        <f>$M$165/$L$165*L56</f>
        <v>504.1238527598244</v>
      </c>
    </row>
    <row r="57" spans="1:13" ht="15" customHeight="1">
      <c r="A57" s="308" t="s">
        <v>95</v>
      </c>
      <c r="B57" s="308"/>
      <c r="C57" s="68"/>
      <c r="D57" s="84">
        <f>SUM(D54:D56)</f>
        <v>3</v>
      </c>
      <c r="E57" s="84">
        <f>SUM(E54:E56)</f>
        <v>0</v>
      </c>
      <c r="F57" s="84">
        <f>SUM(F54:F56)</f>
        <v>3</v>
      </c>
      <c r="G57" s="84">
        <f>SUM(G54:G56)</f>
        <v>3</v>
      </c>
      <c r="H57" s="84">
        <f>SUM(H54:H56)</f>
        <v>0</v>
      </c>
      <c r="I57" s="68"/>
      <c r="J57" s="68"/>
      <c r="K57" s="68"/>
      <c r="L57" s="115">
        <f>SUM(L54:L56)</f>
        <v>54</v>
      </c>
      <c r="M57" s="105">
        <f>SUM(M54:M56)</f>
        <v>1512.3715582794732</v>
      </c>
    </row>
    <row r="58" spans="1:13" ht="15" customHeight="1">
      <c r="A58" s="381" t="s">
        <v>80</v>
      </c>
      <c r="B58" s="381"/>
      <c r="C58" s="48"/>
      <c r="D58" s="116"/>
      <c r="E58" s="51"/>
      <c r="F58" s="51"/>
      <c r="G58" s="51"/>
      <c r="H58" s="51"/>
      <c r="I58" s="51"/>
      <c r="J58" s="51"/>
      <c r="K58" s="51"/>
      <c r="L58" s="117"/>
      <c r="M58" s="108"/>
    </row>
    <row r="59" spans="1:13" ht="30" customHeight="1">
      <c r="A59" s="52" t="s">
        <v>2</v>
      </c>
      <c r="B59" s="52" t="s">
        <v>1</v>
      </c>
      <c r="C59" s="52" t="s">
        <v>3</v>
      </c>
      <c r="D59" s="52" t="s">
        <v>120</v>
      </c>
      <c r="E59" s="52" t="s">
        <v>90</v>
      </c>
      <c r="F59" s="52" t="s">
        <v>91</v>
      </c>
      <c r="G59" s="52" t="s">
        <v>140</v>
      </c>
      <c r="H59" s="52" t="s">
        <v>127</v>
      </c>
      <c r="I59" s="52" t="s">
        <v>119</v>
      </c>
      <c r="J59" s="52" t="s">
        <v>159</v>
      </c>
      <c r="K59" s="52" t="s">
        <v>121</v>
      </c>
      <c r="L59" s="52" t="s">
        <v>122</v>
      </c>
      <c r="M59" s="94" t="s">
        <v>123</v>
      </c>
    </row>
    <row r="60" spans="1:13" ht="15" customHeight="1">
      <c r="A60" s="354"/>
      <c r="B60" s="354"/>
      <c r="C60" s="354"/>
      <c r="D60" s="118">
        <v>1</v>
      </c>
      <c r="E60" s="110">
        <v>1</v>
      </c>
      <c r="F60" s="110"/>
      <c r="G60" s="110">
        <v>1</v>
      </c>
      <c r="H60" s="110"/>
      <c r="I60" s="97">
        <v>1941</v>
      </c>
      <c r="J60" s="119"/>
      <c r="K60" s="112" t="s">
        <v>152</v>
      </c>
      <c r="L60" s="113">
        <v>37.5</v>
      </c>
      <c r="M60" s="101">
        <f aca="true" t="shared" si="2" ref="M60:M76">$M$165/$L$165*L60</f>
        <v>1050.2580265829674</v>
      </c>
    </row>
    <row r="61" spans="1:13" ht="15" customHeight="1">
      <c r="A61" s="354"/>
      <c r="B61" s="354"/>
      <c r="C61" s="354"/>
      <c r="D61" s="118">
        <v>1</v>
      </c>
      <c r="E61" s="110">
        <v>1</v>
      </c>
      <c r="F61" s="110"/>
      <c r="G61" s="110">
        <v>1</v>
      </c>
      <c r="H61" s="110"/>
      <c r="I61" s="97">
        <v>1927</v>
      </c>
      <c r="J61" s="119"/>
      <c r="K61" s="112" t="s">
        <v>152</v>
      </c>
      <c r="L61" s="113">
        <v>37.5</v>
      </c>
      <c r="M61" s="101">
        <f t="shared" si="2"/>
        <v>1050.2580265829674</v>
      </c>
    </row>
    <row r="62" spans="1:13" ht="15" customHeight="1">
      <c r="A62" s="354"/>
      <c r="B62" s="354"/>
      <c r="C62" s="354"/>
      <c r="D62" s="118">
        <v>1</v>
      </c>
      <c r="E62" s="110"/>
      <c r="F62" s="110">
        <v>1</v>
      </c>
      <c r="G62" s="110">
        <v>1</v>
      </c>
      <c r="H62" s="110"/>
      <c r="I62" s="97">
        <v>1933</v>
      </c>
      <c r="J62" s="119"/>
      <c r="K62" s="112" t="s">
        <v>152</v>
      </c>
      <c r="L62" s="113">
        <v>30.1</v>
      </c>
      <c r="M62" s="101">
        <f t="shared" si="2"/>
        <v>843.007109337262</v>
      </c>
    </row>
    <row r="63" spans="1:13" ht="15" customHeight="1">
      <c r="A63" s="354"/>
      <c r="B63" s="354"/>
      <c r="C63" s="354"/>
      <c r="D63" s="118">
        <v>1</v>
      </c>
      <c r="E63" s="110"/>
      <c r="F63" s="110">
        <v>1</v>
      </c>
      <c r="G63" s="110">
        <v>1</v>
      </c>
      <c r="H63" s="110"/>
      <c r="I63" s="97">
        <v>1921</v>
      </c>
      <c r="J63" s="119"/>
      <c r="K63" s="112" t="s">
        <v>152</v>
      </c>
      <c r="L63" s="113">
        <v>20</v>
      </c>
      <c r="M63" s="101">
        <f t="shared" si="2"/>
        <v>560.1376141775827</v>
      </c>
    </row>
    <row r="64" spans="1:13" ht="15" customHeight="1">
      <c r="A64" s="354"/>
      <c r="B64" s="354"/>
      <c r="C64" s="354"/>
      <c r="D64" s="118">
        <v>1</v>
      </c>
      <c r="E64" s="110"/>
      <c r="F64" s="110">
        <v>1</v>
      </c>
      <c r="G64" s="110">
        <v>1</v>
      </c>
      <c r="H64" s="110"/>
      <c r="I64" s="97">
        <v>1930</v>
      </c>
      <c r="J64" s="119"/>
      <c r="K64" s="112" t="s">
        <v>152</v>
      </c>
      <c r="L64" s="113">
        <v>38.8</v>
      </c>
      <c r="M64" s="101">
        <f t="shared" si="2"/>
        <v>1086.6669715045102</v>
      </c>
    </row>
    <row r="65" spans="1:13" ht="15" customHeight="1">
      <c r="A65" s="354"/>
      <c r="B65" s="354"/>
      <c r="C65" s="354"/>
      <c r="D65" s="118">
        <v>1</v>
      </c>
      <c r="E65" s="110"/>
      <c r="F65" s="110">
        <v>1</v>
      </c>
      <c r="G65" s="110">
        <v>1</v>
      </c>
      <c r="H65" s="110"/>
      <c r="I65" s="97">
        <v>1935</v>
      </c>
      <c r="J65" s="119"/>
      <c r="K65" s="112" t="s">
        <v>152</v>
      </c>
      <c r="L65" s="113">
        <v>20</v>
      </c>
      <c r="M65" s="101">
        <f t="shared" si="2"/>
        <v>560.1376141775827</v>
      </c>
    </row>
    <row r="66" spans="1:13" ht="15" customHeight="1">
      <c r="A66" s="354"/>
      <c r="B66" s="354"/>
      <c r="C66" s="354"/>
      <c r="D66" s="118">
        <v>1</v>
      </c>
      <c r="E66" s="110"/>
      <c r="F66" s="110">
        <v>1</v>
      </c>
      <c r="G66" s="110">
        <v>1</v>
      </c>
      <c r="H66" s="110"/>
      <c r="I66" s="97">
        <v>1930</v>
      </c>
      <c r="J66" s="119"/>
      <c r="K66" s="112" t="s">
        <v>152</v>
      </c>
      <c r="L66" s="113">
        <v>38.75</v>
      </c>
      <c r="M66" s="101">
        <f t="shared" si="2"/>
        <v>1085.2666274690664</v>
      </c>
    </row>
    <row r="67" spans="1:13" ht="15" customHeight="1">
      <c r="A67" s="354"/>
      <c r="B67" s="354"/>
      <c r="C67" s="354"/>
      <c r="D67" s="118">
        <v>1</v>
      </c>
      <c r="E67" s="110"/>
      <c r="F67" s="110">
        <v>1</v>
      </c>
      <c r="G67" s="110">
        <v>1</v>
      </c>
      <c r="H67" s="110"/>
      <c r="I67" s="97">
        <v>1929</v>
      </c>
      <c r="J67" s="99"/>
      <c r="K67" s="112" t="s">
        <v>152</v>
      </c>
      <c r="L67" s="113">
        <v>26.75</v>
      </c>
      <c r="M67" s="101">
        <f t="shared" si="2"/>
        <v>749.1840589625168</v>
      </c>
    </row>
    <row r="68" spans="1:13" ht="15" customHeight="1">
      <c r="A68" s="354"/>
      <c r="B68" s="354"/>
      <c r="C68" s="354"/>
      <c r="D68" s="118">
        <v>1</v>
      </c>
      <c r="E68" s="110"/>
      <c r="F68" s="110">
        <v>1</v>
      </c>
      <c r="G68" s="110">
        <v>1</v>
      </c>
      <c r="H68" s="110"/>
      <c r="I68" s="97">
        <v>1937</v>
      </c>
      <c r="J68" s="119"/>
      <c r="K68" s="112" t="s">
        <v>152</v>
      </c>
      <c r="L68" s="113">
        <v>7.5</v>
      </c>
      <c r="M68" s="101">
        <f t="shared" si="2"/>
        <v>210.0516053165935</v>
      </c>
    </row>
    <row r="69" spans="1:13" ht="15" customHeight="1">
      <c r="A69" s="354"/>
      <c r="B69" s="354"/>
      <c r="C69" s="354"/>
      <c r="D69" s="118">
        <v>1</v>
      </c>
      <c r="E69" s="110"/>
      <c r="F69" s="110">
        <v>1</v>
      </c>
      <c r="G69" s="110">
        <v>1</v>
      </c>
      <c r="H69" s="110"/>
      <c r="I69" s="97">
        <v>1930</v>
      </c>
      <c r="J69" s="119"/>
      <c r="K69" s="112" t="s">
        <v>152</v>
      </c>
      <c r="L69" s="113">
        <v>45</v>
      </c>
      <c r="M69" s="101">
        <f t="shared" si="2"/>
        <v>1260.309631899561</v>
      </c>
    </row>
    <row r="70" spans="1:13" ht="15" customHeight="1">
      <c r="A70" s="354"/>
      <c r="B70" s="354"/>
      <c r="C70" s="354"/>
      <c r="D70" s="118">
        <v>1</v>
      </c>
      <c r="E70" s="110">
        <v>1</v>
      </c>
      <c r="F70" s="110"/>
      <c r="G70" s="110"/>
      <c r="H70" s="110">
        <v>1</v>
      </c>
      <c r="I70" s="97">
        <v>1936</v>
      </c>
      <c r="J70" s="119" t="s">
        <v>8</v>
      </c>
      <c r="K70" s="112" t="s">
        <v>152</v>
      </c>
      <c r="L70" s="113">
        <v>56.9</v>
      </c>
      <c r="M70" s="101">
        <f t="shared" si="2"/>
        <v>1593.5915123352227</v>
      </c>
    </row>
    <row r="71" spans="1:13" ht="15" customHeight="1">
      <c r="A71" s="354"/>
      <c r="B71" s="354"/>
      <c r="C71" s="354"/>
      <c r="D71" s="118">
        <v>1</v>
      </c>
      <c r="E71" s="110">
        <v>1</v>
      </c>
      <c r="F71" s="110"/>
      <c r="G71" s="110">
        <v>1</v>
      </c>
      <c r="H71" s="110"/>
      <c r="I71" s="97">
        <v>1942</v>
      </c>
      <c r="J71" s="119"/>
      <c r="K71" s="112" t="s">
        <v>152</v>
      </c>
      <c r="L71" s="113">
        <v>11.3</v>
      </c>
      <c r="M71" s="101">
        <f t="shared" si="2"/>
        <v>316.47775201033426</v>
      </c>
    </row>
    <row r="72" spans="1:13" ht="15" customHeight="1">
      <c r="A72" s="354"/>
      <c r="B72" s="354"/>
      <c r="C72" s="354"/>
      <c r="D72" s="118">
        <v>1</v>
      </c>
      <c r="E72" s="110"/>
      <c r="F72" s="110">
        <v>1</v>
      </c>
      <c r="G72" s="110">
        <v>1</v>
      </c>
      <c r="H72" s="110"/>
      <c r="I72" s="97">
        <v>1928</v>
      </c>
      <c r="J72" s="119"/>
      <c r="K72" s="112" t="s">
        <v>152</v>
      </c>
      <c r="L72" s="113">
        <v>33.8</v>
      </c>
      <c r="M72" s="101">
        <f t="shared" si="2"/>
        <v>946.6325679601147</v>
      </c>
    </row>
    <row r="73" spans="1:13" ht="15" customHeight="1">
      <c r="A73" s="354"/>
      <c r="B73" s="354"/>
      <c r="C73" s="354"/>
      <c r="D73" s="118">
        <v>1</v>
      </c>
      <c r="E73" s="110"/>
      <c r="F73" s="110">
        <v>1</v>
      </c>
      <c r="G73" s="110">
        <v>1</v>
      </c>
      <c r="H73" s="110"/>
      <c r="I73" s="97">
        <v>1932</v>
      </c>
      <c r="J73" s="119"/>
      <c r="K73" s="112" t="s">
        <v>152</v>
      </c>
      <c r="L73" s="113">
        <v>21.25</v>
      </c>
      <c r="M73" s="101">
        <f t="shared" si="2"/>
        <v>595.1462150636816</v>
      </c>
    </row>
    <row r="74" spans="1:13" ht="15" customHeight="1">
      <c r="A74" s="354"/>
      <c r="B74" s="354"/>
      <c r="C74" s="354"/>
      <c r="D74" s="118">
        <v>1</v>
      </c>
      <c r="E74" s="110"/>
      <c r="F74" s="110">
        <v>1</v>
      </c>
      <c r="G74" s="110">
        <v>1</v>
      </c>
      <c r="H74" s="110"/>
      <c r="I74" s="97">
        <v>1949</v>
      </c>
      <c r="J74" s="119"/>
      <c r="K74" s="112" t="s">
        <v>152</v>
      </c>
      <c r="L74" s="113">
        <v>3.8</v>
      </c>
      <c r="M74" s="101">
        <f t="shared" si="2"/>
        <v>106.4261466937407</v>
      </c>
    </row>
    <row r="75" spans="1:13" ht="15" customHeight="1">
      <c r="A75" s="354"/>
      <c r="B75" s="354"/>
      <c r="C75" s="354"/>
      <c r="D75" s="118">
        <v>1</v>
      </c>
      <c r="E75" s="110"/>
      <c r="F75" s="110">
        <v>1</v>
      </c>
      <c r="G75" s="110">
        <v>1</v>
      </c>
      <c r="H75" s="110"/>
      <c r="I75" s="120">
        <v>1920</v>
      </c>
      <c r="J75" s="119"/>
      <c r="K75" s="112" t="s">
        <v>152</v>
      </c>
      <c r="L75" s="113">
        <v>30.1</v>
      </c>
      <c r="M75" s="101">
        <f t="shared" si="2"/>
        <v>843.007109337262</v>
      </c>
    </row>
    <row r="76" spans="1:13" ht="15" customHeight="1">
      <c r="A76" s="354"/>
      <c r="B76" s="354"/>
      <c r="C76" s="354"/>
      <c r="D76" s="118">
        <v>1</v>
      </c>
      <c r="E76" s="110">
        <v>1</v>
      </c>
      <c r="F76" s="110"/>
      <c r="G76" s="110">
        <v>1</v>
      </c>
      <c r="H76" s="110"/>
      <c r="I76" s="97">
        <v>1943</v>
      </c>
      <c r="J76" s="119"/>
      <c r="K76" s="112" t="s">
        <v>152</v>
      </c>
      <c r="L76" s="113">
        <v>100.1</v>
      </c>
      <c r="M76" s="101">
        <f t="shared" si="2"/>
        <v>2803.488758958801</v>
      </c>
    </row>
    <row r="77" spans="1:13" ht="15" customHeight="1">
      <c r="A77" s="308" t="s">
        <v>96</v>
      </c>
      <c r="B77" s="308"/>
      <c r="C77" s="68"/>
      <c r="D77" s="68">
        <f>SUM(D60:D76)</f>
        <v>17</v>
      </c>
      <c r="E77" s="68">
        <f>SUM(E60:E76)</f>
        <v>5</v>
      </c>
      <c r="F77" s="68">
        <f>SUM(F60:F76)</f>
        <v>12</v>
      </c>
      <c r="G77" s="68">
        <f>SUM(G60:G76)</f>
        <v>16</v>
      </c>
      <c r="H77" s="68">
        <f>SUM(H60:H76)</f>
        <v>1</v>
      </c>
      <c r="I77" s="68"/>
      <c r="J77" s="68"/>
      <c r="K77" s="68"/>
      <c r="L77" s="115">
        <f>SUM(L60:L76)</f>
        <v>559.15</v>
      </c>
      <c r="M77" s="105">
        <f>SUM(M60:M76)</f>
        <v>15660.047348369768</v>
      </c>
    </row>
    <row r="78" spans="1:119" s="121" customFormat="1" ht="15" customHeight="1">
      <c r="A78" s="381" t="s">
        <v>81</v>
      </c>
      <c r="B78" s="381"/>
      <c r="C78" s="48"/>
      <c r="D78" s="51"/>
      <c r="E78" s="51"/>
      <c r="F78" s="51"/>
      <c r="G78" s="51"/>
      <c r="H78" s="51"/>
      <c r="I78" s="51"/>
      <c r="J78" s="51"/>
      <c r="K78" s="51"/>
      <c r="L78" s="114"/>
      <c r="M78" s="108"/>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row>
    <row r="79" spans="1:13" ht="30" customHeight="1">
      <c r="A79" s="52" t="s">
        <v>2</v>
      </c>
      <c r="B79" s="52" t="s">
        <v>1</v>
      </c>
      <c r="C79" s="52" t="s">
        <v>3</v>
      </c>
      <c r="D79" s="52" t="s">
        <v>120</v>
      </c>
      <c r="E79" s="52" t="s">
        <v>90</v>
      </c>
      <c r="F79" s="52" t="s">
        <v>91</v>
      </c>
      <c r="G79" s="52" t="s">
        <v>140</v>
      </c>
      <c r="H79" s="52" t="s">
        <v>127</v>
      </c>
      <c r="I79" s="52" t="s">
        <v>119</v>
      </c>
      <c r="J79" s="52" t="s">
        <v>159</v>
      </c>
      <c r="K79" s="52" t="s">
        <v>121</v>
      </c>
      <c r="L79" s="52" t="s">
        <v>122</v>
      </c>
      <c r="M79" s="94" t="s">
        <v>123</v>
      </c>
    </row>
    <row r="80" spans="1:13" ht="15" customHeight="1">
      <c r="A80" s="352"/>
      <c r="B80" s="352"/>
      <c r="C80" s="354"/>
      <c r="D80" s="118">
        <v>1</v>
      </c>
      <c r="E80" s="110"/>
      <c r="F80" s="110">
        <v>1</v>
      </c>
      <c r="G80" s="111">
        <v>1</v>
      </c>
      <c r="H80" s="110"/>
      <c r="I80" s="97">
        <v>1931</v>
      </c>
      <c r="J80" s="119"/>
      <c r="K80" s="112" t="s">
        <v>152</v>
      </c>
      <c r="L80" s="113">
        <v>37.33</v>
      </c>
      <c r="M80" s="101">
        <f aca="true" t="shared" si="3" ref="M80:M95">$M$165/$L$165*L80</f>
        <v>1045.4968568624581</v>
      </c>
    </row>
    <row r="81" spans="1:13" ht="15" customHeight="1">
      <c r="A81" s="352"/>
      <c r="B81" s="352"/>
      <c r="C81" s="354"/>
      <c r="D81" s="118">
        <v>1</v>
      </c>
      <c r="E81" s="110">
        <v>1</v>
      </c>
      <c r="F81" s="110"/>
      <c r="G81" s="111">
        <v>1</v>
      </c>
      <c r="H81" s="110"/>
      <c r="I81" s="97">
        <v>1927</v>
      </c>
      <c r="J81" s="119"/>
      <c r="K81" s="112" t="s">
        <v>152</v>
      </c>
      <c r="L81" s="113">
        <v>41.8</v>
      </c>
      <c r="M81" s="101">
        <f t="shared" si="3"/>
        <v>1170.6876136311478</v>
      </c>
    </row>
    <row r="82" spans="1:13" ht="15" customHeight="1">
      <c r="A82" s="352"/>
      <c r="B82" s="352"/>
      <c r="C82" s="354"/>
      <c r="D82" s="118">
        <v>1</v>
      </c>
      <c r="E82" s="110">
        <v>1</v>
      </c>
      <c r="F82" s="110"/>
      <c r="G82" s="111">
        <v>1</v>
      </c>
      <c r="H82" s="110"/>
      <c r="I82" s="97">
        <v>1924</v>
      </c>
      <c r="J82" s="119"/>
      <c r="K82" s="112" t="s">
        <v>152</v>
      </c>
      <c r="L82" s="113">
        <v>42.6</v>
      </c>
      <c r="M82" s="101">
        <f t="shared" si="3"/>
        <v>1193.0931181982512</v>
      </c>
    </row>
    <row r="83" spans="1:13" ht="15" customHeight="1">
      <c r="A83" s="352"/>
      <c r="B83" s="352"/>
      <c r="C83" s="354"/>
      <c r="D83" s="118">
        <v>1</v>
      </c>
      <c r="E83" s="110"/>
      <c r="F83" s="110">
        <v>1</v>
      </c>
      <c r="G83" s="111">
        <v>1</v>
      </c>
      <c r="H83" s="110"/>
      <c r="I83" s="97">
        <v>1927</v>
      </c>
      <c r="J83" s="119"/>
      <c r="K83" s="112" t="s">
        <v>152</v>
      </c>
      <c r="L83" s="113">
        <v>1.25</v>
      </c>
      <c r="M83" s="101">
        <f t="shared" si="3"/>
        <v>35.00860088609892</v>
      </c>
    </row>
    <row r="84" spans="1:13" ht="15" customHeight="1">
      <c r="A84" s="352"/>
      <c r="B84" s="352"/>
      <c r="C84" s="354"/>
      <c r="D84" s="118">
        <v>1</v>
      </c>
      <c r="E84" s="110">
        <v>1</v>
      </c>
      <c r="F84" s="110"/>
      <c r="G84" s="111">
        <v>1</v>
      </c>
      <c r="H84" s="110"/>
      <c r="I84" s="97">
        <v>1932</v>
      </c>
      <c r="J84" s="99"/>
      <c r="K84" s="112" t="s">
        <v>152</v>
      </c>
      <c r="L84" s="113">
        <v>6.83</v>
      </c>
      <c r="M84" s="101">
        <f t="shared" si="3"/>
        <v>191.2869952416445</v>
      </c>
    </row>
    <row r="85" spans="1:13" ht="15" customHeight="1">
      <c r="A85" s="352"/>
      <c r="B85" s="352"/>
      <c r="C85" s="354"/>
      <c r="D85" s="118">
        <v>1</v>
      </c>
      <c r="E85" s="110"/>
      <c r="F85" s="110">
        <v>1</v>
      </c>
      <c r="G85" s="111">
        <v>1</v>
      </c>
      <c r="H85" s="110"/>
      <c r="I85" s="97">
        <v>1934</v>
      </c>
      <c r="J85" s="119"/>
      <c r="K85" s="112" t="s">
        <v>152</v>
      </c>
      <c r="L85" s="113">
        <v>30</v>
      </c>
      <c r="M85" s="101">
        <f t="shared" si="3"/>
        <v>840.206421266374</v>
      </c>
    </row>
    <row r="86" spans="1:13" ht="15" customHeight="1">
      <c r="A86" s="352"/>
      <c r="B86" s="352"/>
      <c r="C86" s="354"/>
      <c r="D86" s="118">
        <v>1</v>
      </c>
      <c r="E86" s="110">
        <v>1</v>
      </c>
      <c r="F86" s="110"/>
      <c r="G86" s="111">
        <v>1</v>
      </c>
      <c r="H86" s="110"/>
      <c r="I86" s="97">
        <v>1918</v>
      </c>
      <c r="J86" s="119"/>
      <c r="K86" s="112" t="s">
        <v>152</v>
      </c>
      <c r="L86" s="113">
        <v>37.25</v>
      </c>
      <c r="M86" s="101">
        <f t="shared" si="3"/>
        <v>1043.2563064057476</v>
      </c>
    </row>
    <row r="87" spans="1:13" ht="15" customHeight="1">
      <c r="A87" s="352"/>
      <c r="B87" s="352"/>
      <c r="C87" s="354"/>
      <c r="D87" s="118">
        <v>1</v>
      </c>
      <c r="E87" s="110"/>
      <c r="F87" s="110">
        <v>1</v>
      </c>
      <c r="G87" s="111">
        <v>1</v>
      </c>
      <c r="H87" s="110"/>
      <c r="I87" s="97">
        <v>1912</v>
      </c>
      <c r="J87" s="119"/>
      <c r="K87" s="112" t="s">
        <v>152</v>
      </c>
      <c r="L87" s="113">
        <v>16</v>
      </c>
      <c r="M87" s="101">
        <f t="shared" si="3"/>
        <v>448.11009134206614</v>
      </c>
    </row>
    <row r="88" spans="1:13" ht="15" customHeight="1">
      <c r="A88" s="352"/>
      <c r="B88" s="352"/>
      <c r="C88" s="354"/>
      <c r="D88" s="118">
        <v>1</v>
      </c>
      <c r="E88" s="110"/>
      <c r="F88" s="110">
        <v>1</v>
      </c>
      <c r="G88" s="111">
        <v>1</v>
      </c>
      <c r="H88" s="110"/>
      <c r="I88" s="97">
        <v>1919</v>
      </c>
      <c r="J88" s="119"/>
      <c r="K88" s="112" t="s">
        <v>152</v>
      </c>
      <c r="L88" s="113">
        <v>30</v>
      </c>
      <c r="M88" s="101">
        <f t="shared" si="3"/>
        <v>840.206421266374</v>
      </c>
    </row>
    <row r="89" spans="1:13" ht="15" customHeight="1">
      <c r="A89" s="352"/>
      <c r="B89" s="352"/>
      <c r="C89" s="354"/>
      <c r="D89" s="118">
        <v>1</v>
      </c>
      <c r="E89" s="110"/>
      <c r="F89" s="110">
        <v>1</v>
      </c>
      <c r="G89" s="111">
        <v>1</v>
      </c>
      <c r="H89" s="110"/>
      <c r="I89" s="97">
        <v>1934</v>
      </c>
      <c r="J89" s="119"/>
      <c r="K89" s="112" t="s">
        <v>152</v>
      </c>
      <c r="L89" s="113">
        <v>14.67</v>
      </c>
      <c r="M89" s="101">
        <f t="shared" si="3"/>
        <v>410.8609399992569</v>
      </c>
    </row>
    <row r="90" spans="1:13" ht="15" customHeight="1">
      <c r="A90" s="352"/>
      <c r="B90" s="352"/>
      <c r="C90" s="354"/>
      <c r="D90" s="118">
        <v>1</v>
      </c>
      <c r="E90" s="110">
        <v>1</v>
      </c>
      <c r="F90" s="110"/>
      <c r="G90" s="111">
        <v>1</v>
      </c>
      <c r="H90" s="110"/>
      <c r="I90" s="97">
        <v>1936</v>
      </c>
      <c r="J90" s="119"/>
      <c r="K90" s="112" t="s">
        <v>152</v>
      </c>
      <c r="L90" s="113">
        <v>36</v>
      </c>
      <c r="M90" s="101">
        <f t="shared" si="3"/>
        <v>1008.2477055196488</v>
      </c>
    </row>
    <row r="91" spans="1:13" ht="15" customHeight="1">
      <c r="A91" s="352"/>
      <c r="B91" s="352"/>
      <c r="C91" s="354"/>
      <c r="D91" s="118">
        <v>1</v>
      </c>
      <c r="E91" s="110">
        <v>1</v>
      </c>
      <c r="F91" s="110"/>
      <c r="G91" s="111">
        <v>1</v>
      </c>
      <c r="H91" s="110"/>
      <c r="I91" s="97">
        <v>1937</v>
      </c>
      <c r="J91" s="119"/>
      <c r="K91" s="112" t="s">
        <v>152</v>
      </c>
      <c r="L91" s="113">
        <v>24</v>
      </c>
      <c r="M91" s="101">
        <f t="shared" si="3"/>
        <v>672.1651370130992</v>
      </c>
    </row>
    <row r="92" spans="1:13" ht="15" customHeight="1">
      <c r="A92" s="352"/>
      <c r="B92" s="352"/>
      <c r="C92" s="354"/>
      <c r="D92" s="118">
        <v>1</v>
      </c>
      <c r="E92" s="110"/>
      <c r="F92" s="110">
        <v>1</v>
      </c>
      <c r="G92" s="111">
        <v>1</v>
      </c>
      <c r="H92" s="110"/>
      <c r="I92" s="120">
        <v>1958</v>
      </c>
      <c r="J92" s="119"/>
      <c r="K92" s="112" t="s">
        <v>152</v>
      </c>
      <c r="L92" s="113">
        <v>30</v>
      </c>
      <c r="M92" s="101">
        <f t="shared" si="3"/>
        <v>840.206421266374</v>
      </c>
    </row>
    <row r="93" spans="1:13" ht="15" customHeight="1">
      <c r="A93" s="352"/>
      <c r="B93" s="352"/>
      <c r="C93" s="354"/>
      <c r="D93" s="118">
        <v>1</v>
      </c>
      <c r="E93" s="110">
        <v>1</v>
      </c>
      <c r="F93" s="110"/>
      <c r="G93" s="111">
        <v>1</v>
      </c>
      <c r="H93" s="110"/>
      <c r="I93" s="97">
        <v>1917</v>
      </c>
      <c r="J93" s="119"/>
      <c r="K93" s="112" t="s">
        <v>152</v>
      </c>
      <c r="L93" s="113">
        <v>37.5</v>
      </c>
      <c r="M93" s="101">
        <f t="shared" si="3"/>
        <v>1050.2580265829674</v>
      </c>
    </row>
    <row r="94" spans="1:13" ht="15" customHeight="1">
      <c r="A94" s="352"/>
      <c r="B94" s="352"/>
      <c r="C94" s="354"/>
      <c r="D94" s="118">
        <v>1</v>
      </c>
      <c r="E94" s="110"/>
      <c r="F94" s="110">
        <v>1</v>
      </c>
      <c r="G94" s="111">
        <v>1</v>
      </c>
      <c r="H94" s="110"/>
      <c r="I94" s="97">
        <v>1927</v>
      </c>
      <c r="J94" s="119"/>
      <c r="K94" s="112" t="s">
        <v>152</v>
      </c>
      <c r="L94" s="113">
        <v>26.2</v>
      </c>
      <c r="M94" s="101">
        <f t="shared" si="3"/>
        <v>733.7802745726333</v>
      </c>
    </row>
    <row r="95" spans="1:13" ht="15" customHeight="1">
      <c r="A95" s="352"/>
      <c r="B95" s="352"/>
      <c r="C95" s="354"/>
      <c r="D95" s="118">
        <v>1</v>
      </c>
      <c r="E95" s="110">
        <v>1</v>
      </c>
      <c r="F95" s="110"/>
      <c r="G95" s="111">
        <v>1</v>
      </c>
      <c r="H95" s="110"/>
      <c r="I95" s="97">
        <v>1927</v>
      </c>
      <c r="J95" s="119"/>
      <c r="K95" s="112" t="s">
        <v>152</v>
      </c>
      <c r="L95" s="113">
        <v>48</v>
      </c>
      <c r="M95" s="101">
        <f t="shared" si="3"/>
        <v>1344.3302740261984</v>
      </c>
    </row>
    <row r="96" spans="1:13" ht="15" customHeight="1">
      <c r="A96" s="308" t="s">
        <v>97</v>
      </c>
      <c r="B96" s="308"/>
      <c r="C96" s="68"/>
      <c r="D96" s="84">
        <f>SUM(D80:D95)</f>
        <v>16</v>
      </c>
      <c r="E96" s="84">
        <f>SUM(E80:E95)</f>
        <v>8</v>
      </c>
      <c r="F96" s="84">
        <f>SUM(F80:F95)</f>
        <v>8</v>
      </c>
      <c r="G96" s="84">
        <f>SUM(G80:G95)</f>
        <v>16</v>
      </c>
      <c r="H96" s="84">
        <f>SUM(H80:H95)</f>
        <v>0</v>
      </c>
      <c r="I96" s="68"/>
      <c r="J96" s="68"/>
      <c r="K96" s="68"/>
      <c r="L96" s="115">
        <f>SUM(L80:L95)</f>
        <v>459.43</v>
      </c>
      <c r="M96" s="105">
        <f>SUM(M80:M95)</f>
        <v>12867.201204080338</v>
      </c>
    </row>
    <row r="97" spans="1:119" s="121" customFormat="1" ht="15" customHeight="1">
      <c r="A97" s="381" t="s">
        <v>82</v>
      </c>
      <c r="B97" s="381"/>
      <c r="C97" s="48"/>
      <c r="D97" s="51"/>
      <c r="E97" s="51"/>
      <c r="F97" s="51"/>
      <c r="G97" s="51"/>
      <c r="H97" s="51"/>
      <c r="I97" s="51"/>
      <c r="J97" s="51"/>
      <c r="K97" s="51"/>
      <c r="L97" s="114"/>
      <c r="M97" s="108"/>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row>
    <row r="98" spans="1:13" ht="30" customHeight="1">
      <c r="A98" s="52" t="s">
        <v>2</v>
      </c>
      <c r="B98" s="52" t="s">
        <v>1</v>
      </c>
      <c r="C98" s="52" t="s">
        <v>3</v>
      </c>
      <c r="D98" s="52" t="s">
        <v>120</v>
      </c>
      <c r="E98" s="52" t="s">
        <v>90</v>
      </c>
      <c r="F98" s="52" t="s">
        <v>91</v>
      </c>
      <c r="G98" s="52" t="s">
        <v>140</v>
      </c>
      <c r="H98" s="52" t="s">
        <v>127</v>
      </c>
      <c r="I98" s="52" t="s">
        <v>119</v>
      </c>
      <c r="J98" s="52" t="s">
        <v>159</v>
      </c>
      <c r="K98" s="52" t="s">
        <v>121</v>
      </c>
      <c r="L98" s="52" t="s">
        <v>122</v>
      </c>
      <c r="M98" s="94" t="s">
        <v>123</v>
      </c>
    </row>
    <row r="99" spans="1:13" ht="15" customHeight="1">
      <c r="A99" s="352"/>
      <c r="B99" s="352"/>
      <c r="C99" s="354"/>
      <c r="D99" s="109">
        <v>1</v>
      </c>
      <c r="E99" s="110"/>
      <c r="F99" s="110">
        <v>1</v>
      </c>
      <c r="G99" s="111">
        <v>1</v>
      </c>
      <c r="H99" s="110"/>
      <c r="I99" s="97">
        <v>1933</v>
      </c>
      <c r="J99" s="119"/>
      <c r="K99" s="112" t="s">
        <v>152</v>
      </c>
      <c r="L99" s="113">
        <v>39.8</v>
      </c>
      <c r="M99" s="101">
        <f>$M$165/$L$165*L99</f>
        <v>1114.6738522133894</v>
      </c>
    </row>
    <row r="100" spans="1:13" ht="15" customHeight="1">
      <c r="A100" s="352"/>
      <c r="B100" s="352"/>
      <c r="C100" s="354"/>
      <c r="D100" s="109">
        <v>1</v>
      </c>
      <c r="E100" s="110">
        <v>1</v>
      </c>
      <c r="F100" s="110"/>
      <c r="G100" s="111">
        <v>1</v>
      </c>
      <c r="H100" s="110"/>
      <c r="I100" s="97">
        <v>1934</v>
      </c>
      <c r="J100" s="119"/>
      <c r="K100" s="112" t="s">
        <v>152</v>
      </c>
      <c r="L100" s="113">
        <v>8.75</v>
      </c>
      <c r="M100" s="101">
        <f>$M$165/$L$165*L100</f>
        <v>245.06020620269243</v>
      </c>
    </row>
    <row r="101" spans="1:13" ht="15" customHeight="1">
      <c r="A101" s="308" t="s">
        <v>146</v>
      </c>
      <c r="B101" s="308"/>
      <c r="C101" s="68"/>
      <c r="D101" s="84">
        <f>SUM(D99:D100)</f>
        <v>2</v>
      </c>
      <c r="E101" s="84">
        <f>SUM(E99:E100)</f>
        <v>1</v>
      </c>
      <c r="F101" s="84">
        <f>SUM(F99:F100)</f>
        <v>1</v>
      </c>
      <c r="G101" s="84">
        <f>SUM(G99:G100)</f>
        <v>2</v>
      </c>
      <c r="H101" s="84">
        <f>SUM(H99:H100)</f>
        <v>0</v>
      </c>
      <c r="I101" s="68"/>
      <c r="J101" s="68"/>
      <c r="K101" s="68"/>
      <c r="L101" s="115">
        <f>SUM(L99:L100)</f>
        <v>48.55</v>
      </c>
      <c r="M101" s="105">
        <f>SUM(M99:M100)</f>
        <v>1359.7340584160818</v>
      </c>
    </row>
    <row r="102" spans="1:13" ht="15" customHeight="1">
      <c r="A102" s="381" t="s">
        <v>83</v>
      </c>
      <c r="B102" s="381"/>
      <c r="C102" s="48"/>
      <c r="D102" s="122"/>
      <c r="E102" s="51"/>
      <c r="F102" s="51"/>
      <c r="G102" s="51"/>
      <c r="H102" s="51"/>
      <c r="I102" s="51"/>
      <c r="J102" s="51"/>
      <c r="K102" s="51"/>
      <c r="L102" s="117"/>
      <c r="M102" s="108"/>
    </row>
    <row r="103" spans="1:13" ht="30" customHeight="1">
      <c r="A103" s="52" t="s">
        <v>2</v>
      </c>
      <c r="B103" s="52" t="s">
        <v>1</v>
      </c>
      <c r="C103" s="52" t="s">
        <v>3</v>
      </c>
      <c r="D103" s="52" t="s">
        <v>120</v>
      </c>
      <c r="E103" s="52" t="s">
        <v>90</v>
      </c>
      <c r="F103" s="52" t="s">
        <v>91</v>
      </c>
      <c r="G103" s="52" t="s">
        <v>140</v>
      </c>
      <c r="H103" s="52" t="s">
        <v>127</v>
      </c>
      <c r="I103" s="52" t="s">
        <v>119</v>
      </c>
      <c r="J103" s="52" t="s">
        <v>159</v>
      </c>
      <c r="K103" s="52" t="s">
        <v>121</v>
      </c>
      <c r="L103" s="52" t="s">
        <v>122</v>
      </c>
      <c r="M103" s="94" t="s">
        <v>123</v>
      </c>
    </row>
    <row r="104" spans="1:13" ht="15" customHeight="1">
      <c r="A104" s="352"/>
      <c r="B104" s="352"/>
      <c r="C104" s="354"/>
      <c r="D104" s="118">
        <v>1</v>
      </c>
      <c r="E104" s="110"/>
      <c r="F104" s="110">
        <v>1</v>
      </c>
      <c r="G104" s="111">
        <v>1</v>
      </c>
      <c r="H104" s="110"/>
      <c r="I104" s="97">
        <v>1922</v>
      </c>
      <c r="J104" s="119"/>
      <c r="K104" s="112" t="s">
        <v>152</v>
      </c>
      <c r="L104" s="113">
        <v>28.5</v>
      </c>
      <c r="M104" s="101">
        <f aca="true" t="shared" si="4" ref="M104:M117">$M$165/$L$165*L104</f>
        <v>798.1961002030553</v>
      </c>
    </row>
    <row r="105" spans="1:13" ht="15" customHeight="1">
      <c r="A105" s="352"/>
      <c r="B105" s="352"/>
      <c r="C105" s="354"/>
      <c r="D105" s="118">
        <v>1</v>
      </c>
      <c r="E105" s="110"/>
      <c r="F105" s="110">
        <v>1</v>
      </c>
      <c r="G105" s="111">
        <v>1</v>
      </c>
      <c r="H105" s="110"/>
      <c r="I105" s="97">
        <v>1940</v>
      </c>
      <c r="J105" s="119"/>
      <c r="K105" s="112" t="s">
        <v>152</v>
      </c>
      <c r="L105" s="113">
        <v>105.5</v>
      </c>
      <c r="M105" s="101">
        <f t="shared" si="4"/>
        <v>2954.7259147867485</v>
      </c>
    </row>
    <row r="106" spans="1:13" ht="15" customHeight="1">
      <c r="A106" s="352"/>
      <c r="B106" s="352"/>
      <c r="C106" s="354"/>
      <c r="D106" s="118">
        <v>1</v>
      </c>
      <c r="E106" s="110"/>
      <c r="F106" s="110">
        <v>1</v>
      </c>
      <c r="G106" s="111">
        <v>1</v>
      </c>
      <c r="H106" s="110"/>
      <c r="I106" s="97">
        <v>1921</v>
      </c>
      <c r="J106" s="119"/>
      <c r="K106" s="112" t="s">
        <v>152</v>
      </c>
      <c r="L106" s="113">
        <v>12</v>
      </c>
      <c r="M106" s="101">
        <f t="shared" si="4"/>
        <v>336.0825685065496</v>
      </c>
    </row>
    <row r="107" spans="1:13" ht="15" customHeight="1">
      <c r="A107" s="352"/>
      <c r="B107" s="352"/>
      <c r="C107" s="354"/>
      <c r="D107" s="118">
        <v>1</v>
      </c>
      <c r="E107" s="110">
        <v>1</v>
      </c>
      <c r="F107" s="110"/>
      <c r="G107" s="111">
        <v>1</v>
      </c>
      <c r="H107" s="110"/>
      <c r="I107" s="97">
        <v>1928</v>
      </c>
      <c r="J107" s="119"/>
      <c r="K107" s="112" t="s">
        <v>152</v>
      </c>
      <c r="L107" s="113">
        <v>10.5</v>
      </c>
      <c r="M107" s="101">
        <f t="shared" si="4"/>
        <v>294.0722474432309</v>
      </c>
    </row>
    <row r="108" spans="1:13" ht="15" customHeight="1">
      <c r="A108" s="352"/>
      <c r="B108" s="352"/>
      <c r="C108" s="354"/>
      <c r="D108" s="118">
        <v>1</v>
      </c>
      <c r="E108" s="110"/>
      <c r="F108" s="110">
        <v>1</v>
      </c>
      <c r="G108" s="111">
        <v>1</v>
      </c>
      <c r="H108" s="110"/>
      <c r="I108" s="97">
        <v>1935</v>
      </c>
      <c r="J108" s="119"/>
      <c r="K108" s="112" t="s">
        <v>152</v>
      </c>
      <c r="L108" s="113">
        <v>22.33</v>
      </c>
      <c r="M108" s="101">
        <f t="shared" si="4"/>
        <v>625.393646229271</v>
      </c>
    </row>
    <row r="109" spans="1:13" ht="15" customHeight="1">
      <c r="A109" s="352"/>
      <c r="B109" s="352"/>
      <c r="C109" s="354"/>
      <c r="D109" s="118">
        <v>1</v>
      </c>
      <c r="E109" s="110">
        <v>1</v>
      </c>
      <c r="F109" s="110"/>
      <c r="G109" s="111">
        <v>1</v>
      </c>
      <c r="H109" s="110"/>
      <c r="I109" s="97">
        <v>1931</v>
      </c>
      <c r="J109" s="119"/>
      <c r="K109" s="112" t="s">
        <v>152</v>
      </c>
      <c r="L109" s="113">
        <v>1.5</v>
      </c>
      <c r="M109" s="101">
        <f t="shared" si="4"/>
        <v>42.0103210633187</v>
      </c>
    </row>
    <row r="110" spans="1:13" ht="15" customHeight="1">
      <c r="A110" s="352"/>
      <c r="B110" s="352"/>
      <c r="C110" s="354"/>
      <c r="D110" s="118">
        <v>1</v>
      </c>
      <c r="E110" s="110">
        <v>1</v>
      </c>
      <c r="F110" s="110"/>
      <c r="G110" s="111">
        <v>1</v>
      </c>
      <c r="H110" s="110"/>
      <c r="I110" s="97">
        <v>1932</v>
      </c>
      <c r="J110" s="119"/>
      <c r="K110" s="112" t="s">
        <v>152</v>
      </c>
      <c r="L110" s="113">
        <v>36.5</v>
      </c>
      <c r="M110" s="101">
        <f t="shared" si="4"/>
        <v>1022.2511458740884</v>
      </c>
    </row>
    <row r="111" spans="1:13" ht="15" customHeight="1">
      <c r="A111" s="352"/>
      <c r="B111" s="352"/>
      <c r="C111" s="354"/>
      <c r="D111" s="118">
        <v>1</v>
      </c>
      <c r="E111" s="110"/>
      <c r="F111" s="110">
        <v>1</v>
      </c>
      <c r="G111" s="111">
        <v>1</v>
      </c>
      <c r="H111" s="110"/>
      <c r="I111" s="97">
        <v>1938</v>
      </c>
      <c r="J111" s="119"/>
      <c r="K111" s="112" t="s">
        <v>152</v>
      </c>
      <c r="L111" s="113">
        <v>45.33</v>
      </c>
      <c r="M111" s="101">
        <f t="shared" si="4"/>
        <v>1269.551902533491</v>
      </c>
    </row>
    <row r="112" spans="1:13" ht="15" customHeight="1">
      <c r="A112" s="352"/>
      <c r="B112" s="352"/>
      <c r="C112" s="354"/>
      <c r="D112" s="118">
        <v>1</v>
      </c>
      <c r="E112" s="110">
        <v>1</v>
      </c>
      <c r="F112" s="110"/>
      <c r="G112" s="111">
        <v>1</v>
      </c>
      <c r="H112" s="110"/>
      <c r="I112" s="97">
        <v>1927</v>
      </c>
      <c r="J112" s="119"/>
      <c r="K112" s="112" t="s">
        <v>152</v>
      </c>
      <c r="L112" s="113">
        <v>36.7</v>
      </c>
      <c r="M112" s="101">
        <f t="shared" si="4"/>
        <v>1027.8525220158642</v>
      </c>
    </row>
    <row r="113" spans="1:13" ht="15" customHeight="1">
      <c r="A113" s="352"/>
      <c r="B113" s="352"/>
      <c r="C113" s="354"/>
      <c r="D113" s="118">
        <v>1</v>
      </c>
      <c r="E113" s="110">
        <v>1</v>
      </c>
      <c r="F113" s="110"/>
      <c r="G113" s="111">
        <v>1</v>
      </c>
      <c r="H113" s="110"/>
      <c r="I113" s="97">
        <v>1939</v>
      </c>
      <c r="J113" s="119"/>
      <c r="K113" s="112" t="s">
        <v>152</v>
      </c>
      <c r="L113" s="113">
        <v>32</v>
      </c>
      <c r="M113" s="101">
        <f t="shared" si="4"/>
        <v>896.2201826841323</v>
      </c>
    </row>
    <row r="114" spans="1:13" ht="15" customHeight="1">
      <c r="A114" s="352"/>
      <c r="B114" s="352"/>
      <c r="C114" s="354"/>
      <c r="D114" s="118">
        <v>1</v>
      </c>
      <c r="E114" s="110"/>
      <c r="F114" s="110">
        <v>1</v>
      </c>
      <c r="G114" s="111">
        <v>1</v>
      </c>
      <c r="H114" s="110"/>
      <c r="I114" s="97">
        <v>1926</v>
      </c>
      <c r="J114" s="119"/>
      <c r="K114" s="112" t="s">
        <v>152</v>
      </c>
      <c r="L114" s="113">
        <v>12.17</v>
      </c>
      <c r="M114" s="101">
        <f t="shared" si="4"/>
        <v>340.8437382270591</v>
      </c>
    </row>
    <row r="115" spans="1:13" ht="15" customHeight="1">
      <c r="A115" s="352"/>
      <c r="B115" s="352"/>
      <c r="C115" s="354"/>
      <c r="D115" s="118">
        <v>1</v>
      </c>
      <c r="E115" s="110">
        <v>1</v>
      </c>
      <c r="F115" s="110"/>
      <c r="G115" s="111">
        <v>1</v>
      </c>
      <c r="H115" s="110"/>
      <c r="I115" s="97">
        <v>1921</v>
      </c>
      <c r="J115" s="119"/>
      <c r="K115" s="112" t="s">
        <v>152</v>
      </c>
      <c r="L115" s="113">
        <v>4.5</v>
      </c>
      <c r="M115" s="101">
        <f t="shared" si="4"/>
        <v>126.0309631899561</v>
      </c>
    </row>
    <row r="116" spans="1:13" ht="15" customHeight="1">
      <c r="A116" s="352"/>
      <c r="B116" s="352"/>
      <c r="C116" s="354"/>
      <c r="D116" s="118">
        <v>1</v>
      </c>
      <c r="E116" s="110"/>
      <c r="F116" s="110">
        <v>1</v>
      </c>
      <c r="G116" s="111">
        <v>1</v>
      </c>
      <c r="H116" s="110"/>
      <c r="I116" s="97">
        <v>1924</v>
      </c>
      <c r="J116" s="119"/>
      <c r="K116" s="112" t="s">
        <v>152</v>
      </c>
      <c r="L116" s="113">
        <v>18</v>
      </c>
      <c r="M116" s="101">
        <f t="shared" si="4"/>
        <v>504.1238527598244</v>
      </c>
    </row>
    <row r="117" spans="1:13" ht="15" customHeight="1">
      <c r="A117" s="352"/>
      <c r="B117" s="352"/>
      <c r="C117" s="354"/>
      <c r="D117" s="118">
        <v>1</v>
      </c>
      <c r="E117" s="110"/>
      <c r="F117" s="110">
        <v>1</v>
      </c>
      <c r="G117" s="111">
        <v>1</v>
      </c>
      <c r="H117" s="110"/>
      <c r="I117" s="97">
        <v>1934</v>
      </c>
      <c r="J117" s="119"/>
      <c r="K117" s="112" t="s">
        <v>152</v>
      </c>
      <c r="L117" s="113">
        <v>27</v>
      </c>
      <c r="M117" s="101">
        <f t="shared" si="4"/>
        <v>756.1857791397366</v>
      </c>
    </row>
    <row r="118" spans="1:13" ht="15" customHeight="1">
      <c r="A118" s="308" t="s">
        <v>98</v>
      </c>
      <c r="B118" s="308"/>
      <c r="C118" s="68"/>
      <c r="D118" s="68">
        <f>SUM(D104:D117)</f>
        <v>14</v>
      </c>
      <c r="E118" s="68">
        <f>SUM(E104:E117)</f>
        <v>6</v>
      </c>
      <c r="F118" s="68">
        <f>SUM(F104:F117)</f>
        <v>8</v>
      </c>
      <c r="G118" s="68">
        <f>SUM(G104:G117)</f>
        <v>14</v>
      </c>
      <c r="H118" s="68">
        <f>SUM(H104:H117)</f>
        <v>0</v>
      </c>
      <c r="I118" s="68"/>
      <c r="J118" s="68"/>
      <c r="K118" s="68"/>
      <c r="L118" s="115">
        <f>SUM(L104:L117)</f>
        <v>392.53</v>
      </c>
      <c r="M118" s="105">
        <f>SUM(M104:M117)</f>
        <v>10993.540884656326</v>
      </c>
    </row>
    <row r="119" spans="1:13" ht="15" customHeight="1">
      <c r="A119" s="381" t="s">
        <v>84</v>
      </c>
      <c r="B119" s="381"/>
      <c r="C119" s="48"/>
      <c r="D119" s="51"/>
      <c r="E119" s="51"/>
      <c r="F119" s="51"/>
      <c r="G119" s="51"/>
      <c r="H119" s="51"/>
      <c r="I119" s="51"/>
      <c r="J119" s="51"/>
      <c r="K119" s="51"/>
      <c r="L119" s="114"/>
      <c r="M119" s="108"/>
    </row>
    <row r="120" spans="1:13" ht="30" customHeight="1">
      <c r="A120" s="52" t="s">
        <v>2</v>
      </c>
      <c r="B120" s="52" t="s">
        <v>1</v>
      </c>
      <c r="C120" s="52" t="s">
        <v>3</v>
      </c>
      <c r="D120" s="52" t="s">
        <v>120</v>
      </c>
      <c r="E120" s="52" t="s">
        <v>90</v>
      </c>
      <c r="F120" s="52" t="s">
        <v>91</v>
      </c>
      <c r="G120" s="52" t="s">
        <v>140</v>
      </c>
      <c r="H120" s="52" t="s">
        <v>127</v>
      </c>
      <c r="I120" s="52" t="s">
        <v>119</v>
      </c>
      <c r="J120" s="52" t="s">
        <v>159</v>
      </c>
      <c r="K120" s="52" t="s">
        <v>121</v>
      </c>
      <c r="L120" s="52" t="s">
        <v>122</v>
      </c>
      <c r="M120" s="94" t="s">
        <v>123</v>
      </c>
    </row>
    <row r="121" spans="1:13" ht="15" customHeight="1">
      <c r="A121" s="352"/>
      <c r="B121" s="352"/>
      <c r="C121" s="354"/>
      <c r="D121" s="109">
        <v>1</v>
      </c>
      <c r="E121" s="110">
        <v>1</v>
      </c>
      <c r="F121" s="110"/>
      <c r="G121" s="111">
        <v>1</v>
      </c>
      <c r="H121" s="110"/>
      <c r="I121" s="97">
        <v>1936</v>
      </c>
      <c r="J121" s="119"/>
      <c r="K121" s="112" t="s">
        <v>152</v>
      </c>
      <c r="L121" s="113">
        <v>78</v>
      </c>
      <c r="M121" s="101">
        <f aca="true" t="shared" si="5" ref="M121:M128">$M$165/$L$165*L121</f>
        <v>2184.5366952925724</v>
      </c>
    </row>
    <row r="122" spans="1:13" ht="15" customHeight="1">
      <c r="A122" s="352"/>
      <c r="B122" s="352"/>
      <c r="C122" s="354"/>
      <c r="D122" s="109">
        <v>1</v>
      </c>
      <c r="E122" s="110"/>
      <c r="F122" s="110">
        <v>1</v>
      </c>
      <c r="G122" s="111">
        <v>1</v>
      </c>
      <c r="H122" s="110"/>
      <c r="I122" s="97">
        <v>1915</v>
      </c>
      <c r="J122" s="119"/>
      <c r="K122" s="112" t="s">
        <v>152</v>
      </c>
      <c r="L122" s="113">
        <v>1.5</v>
      </c>
      <c r="M122" s="101">
        <f t="shared" si="5"/>
        <v>42.0103210633187</v>
      </c>
    </row>
    <row r="123" spans="1:13" ht="15" customHeight="1">
      <c r="A123" s="352"/>
      <c r="B123" s="352"/>
      <c r="C123" s="354"/>
      <c r="D123" s="109">
        <v>1</v>
      </c>
      <c r="E123" s="110">
        <v>1</v>
      </c>
      <c r="F123" s="110"/>
      <c r="G123" s="111">
        <v>1</v>
      </c>
      <c r="H123" s="110"/>
      <c r="I123" s="97">
        <v>1942</v>
      </c>
      <c r="J123" s="119"/>
      <c r="K123" s="112" t="s">
        <v>152</v>
      </c>
      <c r="L123" s="113">
        <v>12</v>
      </c>
      <c r="M123" s="101">
        <f t="shared" si="5"/>
        <v>336.0825685065496</v>
      </c>
    </row>
    <row r="124" spans="1:13" ht="15" customHeight="1">
      <c r="A124" s="352"/>
      <c r="B124" s="352"/>
      <c r="C124" s="354"/>
      <c r="D124" s="109">
        <v>1</v>
      </c>
      <c r="E124" s="110">
        <v>1</v>
      </c>
      <c r="F124" s="110"/>
      <c r="G124" s="111">
        <v>1</v>
      </c>
      <c r="H124" s="110"/>
      <c r="I124" s="97">
        <v>1948</v>
      </c>
      <c r="J124" s="119"/>
      <c r="K124" s="112" t="s">
        <v>152</v>
      </c>
      <c r="L124" s="113">
        <v>19.5</v>
      </c>
      <c r="M124" s="101">
        <f t="shared" si="5"/>
        <v>546.1341738231431</v>
      </c>
    </row>
    <row r="125" spans="1:13" ht="15" customHeight="1">
      <c r="A125" s="352"/>
      <c r="B125" s="352"/>
      <c r="C125" s="354"/>
      <c r="D125" s="109">
        <v>1</v>
      </c>
      <c r="E125" s="110">
        <v>1</v>
      </c>
      <c r="F125" s="110"/>
      <c r="G125" s="111">
        <v>1</v>
      </c>
      <c r="H125" s="110"/>
      <c r="I125" s="97">
        <v>1937</v>
      </c>
      <c r="J125" s="119"/>
      <c r="K125" s="112" t="s">
        <v>152</v>
      </c>
      <c r="L125" s="113">
        <v>36</v>
      </c>
      <c r="M125" s="101">
        <f t="shared" si="5"/>
        <v>1008.2477055196488</v>
      </c>
    </row>
    <row r="126" spans="1:13" ht="15" customHeight="1">
      <c r="A126" s="352"/>
      <c r="B126" s="352"/>
      <c r="C126" s="354"/>
      <c r="D126" s="109">
        <v>1</v>
      </c>
      <c r="E126" s="110">
        <v>1</v>
      </c>
      <c r="F126" s="110"/>
      <c r="G126" s="111">
        <v>1</v>
      </c>
      <c r="H126" s="110"/>
      <c r="I126" s="97">
        <v>1934</v>
      </c>
      <c r="J126" s="119"/>
      <c r="K126" s="112" t="s">
        <v>152</v>
      </c>
      <c r="L126" s="113">
        <v>63.34</v>
      </c>
      <c r="M126" s="101">
        <f t="shared" si="5"/>
        <v>1773.9558241004045</v>
      </c>
    </row>
    <row r="127" spans="1:13" ht="15" customHeight="1">
      <c r="A127" s="352"/>
      <c r="B127" s="352"/>
      <c r="C127" s="354"/>
      <c r="D127" s="109">
        <v>1</v>
      </c>
      <c r="E127" s="110"/>
      <c r="F127" s="110">
        <v>1</v>
      </c>
      <c r="G127" s="111">
        <v>1</v>
      </c>
      <c r="H127" s="110"/>
      <c r="I127" s="97">
        <v>1921</v>
      </c>
      <c r="J127" s="119"/>
      <c r="K127" s="112" t="s">
        <v>152</v>
      </c>
      <c r="L127" s="113">
        <v>70.66</v>
      </c>
      <c r="M127" s="101">
        <f t="shared" si="5"/>
        <v>1978.9661908893995</v>
      </c>
    </row>
    <row r="128" spans="1:13" ht="15" customHeight="1">
      <c r="A128" s="352"/>
      <c r="B128" s="352"/>
      <c r="C128" s="354"/>
      <c r="D128" s="109">
        <v>1</v>
      </c>
      <c r="E128" s="110">
        <v>1</v>
      </c>
      <c r="F128" s="110"/>
      <c r="G128" s="111">
        <v>1</v>
      </c>
      <c r="H128" s="110"/>
      <c r="I128" s="97">
        <v>1923</v>
      </c>
      <c r="J128" s="119"/>
      <c r="K128" s="112" t="s">
        <v>152</v>
      </c>
      <c r="L128" s="113">
        <v>25</v>
      </c>
      <c r="M128" s="101">
        <f t="shared" si="5"/>
        <v>700.1720177219784</v>
      </c>
    </row>
    <row r="129" spans="1:13" ht="15" customHeight="1">
      <c r="A129" s="308" t="s">
        <v>99</v>
      </c>
      <c r="B129" s="308"/>
      <c r="C129" s="68"/>
      <c r="D129" s="68">
        <f>SUM(D121:D128)</f>
        <v>8</v>
      </c>
      <c r="E129" s="68">
        <f>SUM(E121:E128)</f>
        <v>6</v>
      </c>
      <c r="F129" s="68">
        <f>SUM(F121:F128)</f>
        <v>2</v>
      </c>
      <c r="G129" s="68">
        <f>SUM(G121:G128)</f>
        <v>8</v>
      </c>
      <c r="H129" s="68">
        <f>SUM(H121:H128)</f>
        <v>0</v>
      </c>
      <c r="I129" s="68"/>
      <c r="J129" s="68"/>
      <c r="K129" s="68"/>
      <c r="L129" s="115">
        <f>SUM(L121:L128)</f>
        <v>306</v>
      </c>
      <c r="M129" s="105">
        <f>SUM(M121:M128)</f>
        <v>8570.105496917015</v>
      </c>
    </row>
    <row r="130" spans="1:13" ht="15" customHeight="1">
      <c r="A130" s="381" t="s">
        <v>85</v>
      </c>
      <c r="B130" s="381"/>
      <c r="C130" s="48"/>
      <c r="D130" s="51"/>
      <c r="E130" s="51"/>
      <c r="F130" s="51"/>
      <c r="G130" s="51"/>
      <c r="H130" s="51"/>
      <c r="I130" s="51"/>
      <c r="J130" s="51"/>
      <c r="K130" s="51"/>
      <c r="L130" s="114"/>
      <c r="M130" s="108"/>
    </row>
    <row r="131" spans="1:13" ht="30" customHeight="1">
      <c r="A131" s="52" t="s">
        <v>2</v>
      </c>
      <c r="B131" s="52" t="s">
        <v>1</v>
      </c>
      <c r="C131" s="52" t="s">
        <v>3</v>
      </c>
      <c r="D131" s="52" t="s">
        <v>120</v>
      </c>
      <c r="E131" s="52" t="s">
        <v>90</v>
      </c>
      <c r="F131" s="52" t="s">
        <v>91</v>
      </c>
      <c r="G131" s="52" t="s">
        <v>140</v>
      </c>
      <c r="H131" s="52" t="s">
        <v>127</v>
      </c>
      <c r="I131" s="52" t="s">
        <v>119</v>
      </c>
      <c r="J131" s="52" t="s">
        <v>159</v>
      </c>
      <c r="K131" s="52" t="s">
        <v>121</v>
      </c>
      <c r="L131" s="52" t="s">
        <v>122</v>
      </c>
      <c r="M131" s="94" t="s">
        <v>123</v>
      </c>
    </row>
    <row r="132" spans="1:13" ht="15" customHeight="1">
      <c r="A132" s="352"/>
      <c r="B132" s="352"/>
      <c r="C132" s="354"/>
      <c r="D132" s="109">
        <v>1</v>
      </c>
      <c r="E132" s="110"/>
      <c r="F132" s="110">
        <v>1</v>
      </c>
      <c r="G132" s="111">
        <v>1</v>
      </c>
      <c r="H132" s="110"/>
      <c r="I132" s="97">
        <v>1938</v>
      </c>
      <c r="J132" s="119"/>
      <c r="K132" s="112" t="s">
        <v>152</v>
      </c>
      <c r="L132" s="113">
        <v>39.3</v>
      </c>
      <c r="M132" s="101">
        <f aca="true" t="shared" si="6" ref="M132:M163">$M$165/$L$165*L132</f>
        <v>1100.6704118589498</v>
      </c>
    </row>
    <row r="133" spans="1:13" ht="15" customHeight="1">
      <c r="A133" s="352"/>
      <c r="B133" s="352"/>
      <c r="C133" s="354"/>
      <c r="D133" s="109">
        <v>1</v>
      </c>
      <c r="E133" s="110">
        <v>1</v>
      </c>
      <c r="F133" s="110"/>
      <c r="G133" s="111">
        <v>1</v>
      </c>
      <c r="H133" s="110"/>
      <c r="I133" s="97">
        <v>1927</v>
      </c>
      <c r="J133" s="119"/>
      <c r="K133" s="112" t="s">
        <v>152</v>
      </c>
      <c r="L133" s="113">
        <v>85.5</v>
      </c>
      <c r="M133" s="101">
        <f t="shared" si="6"/>
        <v>2394.588300609166</v>
      </c>
    </row>
    <row r="134" spans="1:13" ht="15" customHeight="1">
      <c r="A134" s="352"/>
      <c r="B134" s="352"/>
      <c r="C134" s="354"/>
      <c r="D134" s="109">
        <v>1</v>
      </c>
      <c r="E134" s="110">
        <v>1</v>
      </c>
      <c r="F134" s="110"/>
      <c r="G134" s="111">
        <v>1</v>
      </c>
      <c r="H134" s="110"/>
      <c r="I134" s="97">
        <v>1914</v>
      </c>
      <c r="J134" s="119"/>
      <c r="K134" s="112" t="s">
        <v>152</v>
      </c>
      <c r="L134" s="113">
        <v>10</v>
      </c>
      <c r="M134" s="101">
        <f t="shared" si="6"/>
        <v>280.06880708879135</v>
      </c>
    </row>
    <row r="135" spans="1:13" ht="15" customHeight="1">
      <c r="A135" s="352"/>
      <c r="B135" s="352"/>
      <c r="C135" s="354"/>
      <c r="D135" s="109">
        <v>1</v>
      </c>
      <c r="E135" s="110">
        <v>1</v>
      </c>
      <c r="F135" s="110"/>
      <c r="G135" s="111">
        <v>1</v>
      </c>
      <c r="H135" s="110"/>
      <c r="I135" s="97">
        <v>1933</v>
      </c>
      <c r="J135" s="119"/>
      <c r="K135" s="112" t="s">
        <v>152</v>
      </c>
      <c r="L135" s="113">
        <v>9.3</v>
      </c>
      <c r="M135" s="101">
        <f t="shared" si="6"/>
        <v>260.46399059257595</v>
      </c>
    </row>
    <row r="136" spans="1:13" ht="15" customHeight="1">
      <c r="A136" s="352"/>
      <c r="B136" s="352"/>
      <c r="C136" s="354"/>
      <c r="D136" s="109">
        <v>1</v>
      </c>
      <c r="E136" s="110">
        <v>1</v>
      </c>
      <c r="F136" s="110"/>
      <c r="G136" s="111">
        <v>1</v>
      </c>
      <c r="H136" s="110"/>
      <c r="I136" s="97">
        <v>1927</v>
      </c>
      <c r="J136" s="119"/>
      <c r="K136" s="112" t="s">
        <v>152</v>
      </c>
      <c r="L136" s="113">
        <v>40.8</v>
      </c>
      <c r="M136" s="101">
        <f t="shared" si="6"/>
        <v>1142.6807329222686</v>
      </c>
    </row>
    <row r="137" spans="1:13" ht="15" customHeight="1">
      <c r="A137" s="352"/>
      <c r="B137" s="352"/>
      <c r="C137" s="354"/>
      <c r="D137" s="109">
        <v>1</v>
      </c>
      <c r="E137" s="110">
        <v>1</v>
      </c>
      <c r="F137" s="110"/>
      <c r="G137" s="111">
        <v>1</v>
      </c>
      <c r="H137" s="110"/>
      <c r="I137" s="97">
        <v>1939</v>
      </c>
      <c r="J137" s="119"/>
      <c r="K137" s="112" t="s">
        <v>152</v>
      </c>
      <c r="L137" s="113">
        <v>65</v>
      </c>
      <c r="M137" s="101">
        <f t="shared" si="6"/>
        <v>1820.4472460771437</v>
      </c>
    </row>
    <row r="138" spans="1:13" ht="15" customHeight="1">
      <c r="A138" s="352"/>
      <c r="B138" s="352"/>
      <c r="C138" s="354"/>
      <c r="D138" s="109">
        <v>1</v>
      </c>
      <c r="E138" s="110">
        <v>1</v>
      </c>
      <c r="F138" s="110"/>
      <c r="G138" s="111">
        <v>1</v>
      </c>
      <c r="H138" s="110"/>
      <c r="I138" s="97">
        <v>192</v>
      </c>
      <c r="J138" s="119"/>
      <c r="K138" s="112" t="s">
        <v>152</v>
      </c>
      <c r="L138" s="113">
        <v>33</v>
      </c>
      <c r="M138" s="101">
        <f t="shared" si="6"/>
        <v>924.2270633930115</v>
      </c>
    </row>
    <row r="139" spans="1:13" ht="15" customHeight="1">
      <c r="A139" s="352"/>
      <c r="B139" s="352"/>
      <c r="C139" s="354"/>
      <c r="D139" s="109">
        <v>1</v>
      </c>
      <c r="E139" s="110">
        <v>1</v>
      </c>
      <c r="F139" s="110"/>
      <c r="G139" s="111">
        <v>1</v>
      </c>
      <c r="H139" s="110"/>
      <c r="I139" s="97">
        <v>1930</v>
      </c>
      <c r="J139" s="119"/>
      <c r="K139" s="112" t="s">
        <v>152</v>
      </c>
      <c r="L139" s="113">
        <v>12.5</v>
      </c>
      <c r="M139" s="101">
        <f t="shared" si="6"/>
        <v>350.0860088609892</v>
      </c>
    </row>
    <row r="140" spans="1:13" ht="15" customHeight="1">
      <c r="A140" s="352"/>
      <c r="B140" s="352"/>
      <c r="C140" s="354"/>
      <c r="D140" s="109">
        <v>1</v>
      </c>
      <c r="E140" s="110">
        <v>1</v>
      </c>
      <c r="F140" s="110"/>
      <c r="G140" s="111">
        <v>1</v>
      </c>
      <c r="H140" s="110"/>
      <c r="I140" s="97">
        <v>1934</v>
      </c>
      <c r="J140" s="119"/>
      <c r="K140" s="112" t="s">
        <v>152</v>
      </c>
      <c r="L140" s="113">
        <v>23.8</v>
      </c>
      <c r="M140" s="101">
        <f t="shared" si="6"/>
        <v>666.5637608713234</v>
      </c>
    </row>
    <row r="141" spans="1:13" ht="15" customHeight="1">
      <c r="A141" s="352"/>
      <c r="B141" s="352"/>
      <c r="C141" s="354"/>
      <c r="D141" s="109">
        <v>1</v>
      </c>
      <c r="E141" s="110">
        <v>1</v>
      </c>
      <c r="F141" s="110"/>
      <c r="G141" s="111">
        <v>1</v>
      </c>
      <c r="H141" s="110"/>
      <c r="I141" s="97">
        <v>1935</v>
      </c>
      <c r="J141" s="119"/>
      <c r="K141" s="112" t="s">
        <v>152</v>
      </c>
      <c r="L141" s="113">
        <v>1.25</v>
      </c>
      <c r="M141" s="101">
        <f t="shared" si="6"/>
        <v>35.00860088609892</v>
      </c>
    </row>
    <row r="142" spans="1:13" ht="15" customHeight="1">
      <c r="A142" s="352"/>
      <c r="B142" s="352"/>
      <c r="C142" s="354"/>
      <c r="D142" s="109">
        <v>1</v>
      </c>
      <c r="E142" s="110"/>
      <c r="F142" s="110">
        <v>1</v>
      </c>
      <c r="G142" s="111">
        <v>1</v>
      </c>
      <c r="H142" s="110"/>
      <c r="I142" s="97">
        <v>1937</v>
      </c>
      <c r="J142" s="119"/>
      <c r="K142" s="112" t="s">
        <v>152</v>
      </c>
      <c r="L142" s="113">
        <v>28.8</v>
      </c>
      <c r="M142" s="101">
        <f t="shared" si="6"/>
        <v>806.5981644157191</v>
      </c>
    </row>
    <row r="143" spans="1:13" ht="15" customHeight="1">
      <c r="A143" s="352"/>
      <c r="B143" s="352"/>
      <c r="C143" s="354"/>
      <c r="D143" s="109">
        <v>1</v>
      </c>
      <c r="E143" s="110">
        <v>1</v>
      </c>
      <c r="F143" s="110"/>
      <c r="G143" s="111">
        <v>1</v>
      </c>
      <c r="H143" s="110"/>
      <c r="I143" s="97">
        <v>1932</v>
      </c>
      <c r="J143" s="119"/>
      <c r="K143" s="112" t="s">
        <v>152</v>
      </c>
      <c r="L143" s="113">
        <v>33.5</v>
      </c>
      <c r="M143" s="101">
        <f t="shared" si="6"/>
        <v>938.2305037474509</v>
      </c>
    </row>
    <row r="144" spans="1:13" ht="15" customHeight="1">
      <c r="A144" s="352"/>
      <c r="B144" s="352"/>
      <c r="C144" s="354"/>
      <c r="D144" s="109">
        <v>1</v>
      </c>
      <c r="E144" s="110"/>
      <c r="F144" s="110">
        <v>1</v>
      </c>
      <c r="G144" s="111">
        <v>1</v>
      </c>
      <c r="H144" s="110"/>
      <c r="I144" s="97">
        <v>1915</v>
      </c>
      <c r="J144" s="119"/>
      <c r="K144" s="112" t="s">
        <v>152</v>
      </c>
      <c r="L144" s="113">
        <v>79.6</v>
      </c>
      <c r="M144" s="101">
        <f t="shared" si="6"/>
        <v>2229.347704426779</v>
      </c>
    </row>
    <row r="145" spans="1:13" ht="15" customHeight="1">
      <c r="A145" s="352"/>
      <c r="B145" s="352"/>
      <c r="C145" s="354"/>
      <c r="D145" s="109">
        <v>1</v>
      </c>
      <c r="E145" s="110"/>
      <c r="F145" s="110">
        <v>1</v>
      </c>
      <c r="G145" s="111">
        <v>1</v>
      </c>
      <c r="H145" s="110"/>
      <c r="I145" s="97">
        <v>1932</v>
      </c>
      <c r="J145" s="119"/>
      <c r="K145" s="112" t="s">
        <v>152</v>
      </c>
      <c r="L145" s="113">
        <v>33.75</v>
      </c>
      <c r="M145" s="101">
        <f t="shared" si="6"/>
        <v>945.2322239246707</v>
      </c>
    </row>
    <row r="146" spans="1:13" ht="15" customHeight="1">
      <c r="A146" s="352"/>
      <c r="B146" s="352"/>
      <c r="C146" s="354"/>
      <c r="D146" s="109">
        <v>1</v>
      </c>
      <c r="E146" s="110"/>
      <c r="F146" s="110">
        <v>1</v>
      </c>
      <c r="G146" s="111">
        <v>1</v>
      </c>
      <c r="H146" s="110"/>
      <c r="I146" s="97">
        <v>1918</v>
      </c>
      <c r="J146" s="119"/>
      <c r="K146" s="112" t="s">
        <v>152</v>
      </c>
      <c r="L146" s="113">
        <v>33.83</v>
      </c>
      <c r="M146" s="101">
        <f t="shared" si="6"/>
        <v>947.4727743813811</v>
      </c>
    </row>
    <row r="147" spans="1:13" ht="15" customHeight="1">
      <c r="A147" s="352"/>
      <c r="B147" s="352"/>
      <c r="C147" s="354"/>
      <c r="D147" s="109">
        <v>1</v>
      </c>
      <c r="E147" s="110">
        <v>1</v>
      </c>
      <c r="F147" s="110"/>
      <c r="G147" s="111">
        <v>1</v>
      </c>
      <c r="H147" s="110"/>
      <c r="I147" s="97">
        <v>1915</v>
      </c>
      <c r="J147" s="119"/>
      <c r="K147" s="112" t="s">
        <v>152</v>
      </c>
      <c r="L147" s="113">
        <v>35.5</v>
      </c>
      <c r="M147" s="101">
        <f t="shared" si="6"/>
        <v>994.2442651652093</v>
      </c>
    </row>
    <row r="148" spans="1:13" ht="15" customHeight="1">
      <c r="A148" s="352"/>
      <c r="B148" s="352"/>
      <c r="C148" s="354"/>
      <c r="D148" s="109">
        <v>1</v>
      </c>
      <c r="E148" s="110"/>
      <c r="F148" s="110">
        <v>1</v>
      </c>
      <c r="G148" s="111">
        <v>1</v>
      </c>
      <c r="H148" s="110"/>
      <c r="I148" s="97">
        <v>1935</v>
      </c>
      <c r="J148" s="119"/>
      <c r="K148" s="112" t="s">
        <v>152</v>
      </c>
      <c r="L148" s="113">
        <v>7</v>
      </c>
      <c r="M148" s="101">
        <f t="shared" si="6"/>
        <v>196.04816496215395</v>
      </c>
    </row>
    <row r="149" spans="1:13" ht="15" customHeight="1">
      <c r="A149" s="352"/>
      <c r="B149" s="352"/>
      <c r="C149" s="354"/>
      <c r="D149" s="109">
        <v>1</v>
      </c>
      <c r="E149" s="110"/>
      <c r="F149" s="110">
        <v>1</v>
      </c>
      <c r="G149" s="111">
        <v>1</v>
      </c>
      <c r="H149" s="110"/>
      <c r="I149" s="97">
        <v>1917</v>
      </c>
      <c r="J149" s="119"/>
      <c r="K149" s="112" t="s">
        <v>152</v>
      </c>
      <c r="L149" s="113">
        <v>15</v>
      </c>
      <c r="M149" s="101">
        <f t="shared" si="6"/>
        <v>420.103210633187</v>
      </c>
    </row>
    <row r="150" spans="1:13" ht="15" customHeight="1">
      <c r="A150" s="352"/>
      <c r="B150" s="352"/>
      <c r="C150" s="354"/>
      <c r="D150" s="109">
        <v>1</v>
      </c>
      <c r="E150" s="110"/>
      <c r="F150" s="110">
        <v>1</v>
      </c>
      <c r="G150" s="111">
        <v>1</v>
      </c>
      <c r="H150" s="110"/>
      <c r="I150" s="97">
        <v>1924</v>
      </c>
      <c r="J150" s="119"/>
      <c r="K150" s="112" t="s">
        <v>152</v>
      </c>
      <c r="L150" s="113">
        <v>18.75</v>
      </c>
      <c r="M150" s="101">
        <f t="shared" si="6"/>
        <v>525.1290132914837</v>
      </c>
    </row>
    <row r="151" spans="1:13" ht="15" customHeight="1">
      <c r="A151" s="352"/>
      <c r="B151" s="352"/>
      <c r="C151" s="354"/>
      <c r="D151" s="109">
        <v>1</v>
      </c>
      <c r="E151" s="110"/>
      <c r="F151" s="110">
        <v>1</v>
      </c>
      <c r="G151" s="111">
        <v>1</v>
      </c>
      <c r="H151" s="110"/>
      <c r="I151" s="97">
        <v>1924</v>
      </c>
      <c r="J151" s="119"/>
      <c r="K151" s="112" t="s">
        <v>152</v>
      </c>
      <c r="L151" s="113">
        <v>33.75</v>
      </c>
      <c r="M151" s="101">
        <f t="shared" si="6"/>
        <v>945.2322239246707</v>
      </c>
    </row>
    <row r="152" spans="1:13" ht="15" customHeight="1">
      <c r="A152" s="352"/>
      <c r="B152" s="352"/>
      <c r="C152" s="354"/>
      <c r="D152" s="109">
        <v>1</v>
      </c>
      <c r="E152" s="110"/>
      <c r="F152" s="110">
        <v>1</v>
      </c>
      <c r="G152" s="111">
        <v>1</v>
      </c>
      <c r="H152" s="110"/>
      <c r="I152" s="97">
        <v>1916</v>
      </c>
      <c r="J152" s="119"/>
      <c r="K152" s="112" t="s">
        <v>152</v>
      </c>
      <c r="L152" s="113">
        <v>16.25</v>
      </c>
      <c r="M152" s="101">
        <f t="shared" si="6"/>
        <v>455.11181151928594</v>
      </c>
    </row>
    <row r="153" spans="1:13" ht="15" customHeight="1">
      <c r="A153" s="352"/>
      <c r="B153" s="352"/>
      <c r="C153" s="354"/>
      <c r="D153" s="109">
        <v>1</v>
      </c>
      <c r="E153" s="110"/>
      <c r="F153" s="110">
        <v>1</v>
      </c>
      <c r="G153" s="111">
        <v>1</v>
      </c>
      <c r="H153" s="110"/>
      <c r="I153" s="97">
        <v>1927</v>
      </c>
      <c r="J153" s="119"/>
      <c r="K153" s="112" t="s">
        <v>152</v>
      </c>
      <c r="L153" s="113">
        <v>20</v>
      </c>
      <c r="M153" s="101">
        <f t="shared" si="6"/>
        <v>560.1376141775827</v>
      </c>
    </row>
    <row r="154" spans="1:13" ht="15" customHeight="1">
      <c r="A154" s="352"/>
      <c r="B154" s="352"/>
      <c r="C154" s="354"/>
      <c r="D154" s="109">
        <v>1</v>
      </c>
      <c r="E154" s="110"/>
      <c r="F154" s="110">
        <v>1</v>
      </c>
      <c r="G154" s="111">
        <v>1</v>
      </c>
      <c r="H154" s="110"/>
      <c r="I154" s="97">
        <v>1912</v>
      </c>
      <c r="J154" s="119"/>
      <c r="K154" s="112" t="s">
        <v>152</v>
      </c>
      <c r="L154" s="113">
        <v>22.5</v>
      </c>
      <c r="M154" s="101">
        <f t="shared" si="6"/>
        <v>630.1548159497805</v>
      </c>
    </row>
    <row r="155" spans="1:13" ht="15" customHeight="1">
      <c r="A155" s="352"/>
      <c r="B155" s="352"/>
      <c r="C155" s="354"/>
      <c r="D155" s="109">
        <v>1</v>
      </c>
      <c r="E155" s="110"/>
      <c r="F155" s="110">
        <v>1</v>
      </c>
      <c r="G155" s="111">
        <v>1</v>
      </c>
      <c r="H155" s="110"/>
      <c r="I155" s="97">
        <v>1920</v>
      </c>
      <c r="J155" s="119"/>
      <c r="K155" s="112" t="s">
        <v>152</v>
      </c>
      <c r="L155" s="113">
        <v>5</v>
      </c>
      <c r="M155" s="101">
        <f t="shared" si="6"/>
        <v>140.03440354439567</v>
      </c>
    </row>
    <row r="156" spans="1:13" ht="15" customHeight="1">
      <c r="A156" s="352"/>
      <c r="B156" s="352"/>
      <c r="C156" s="354"/>
      <c r="D156" s="109">
        <v>1</v>
      </c>
      <c r="E156" s="110"/>
      <c r="F156" s="110">
        <v>1</v>
      </c>
      <c r="G156" s="111">
        <v>1</v>
      </c>
      <c r="H156" s="110"/>
      <c r="I156" s="97">
        <v>1938</v>
      </c>
      <c r="J156" s="119"/>
      <c r="K156" s="112" t="s">
        <v>152</v>
      </c>
      <c r="L156" s="113">
        <v>33.75</v>
      </c>
      <c r="M156" s="101">
        <f t="shared" si="6"/>
        <v>945.2322239246707</v>
      </c>
    </row>
    <row r="157" spans="1:13" ht="15" customHeight="1">
      <c r="A157" s="352"/>
      <c r="B157" s="352"/>
      <c r="C157" s="354"/>
      <c r="D157" s="109">
        <v>1</v>
      </c>
      <c r="E157" s="110"/>
      <c r="F157" s="110">
        <v>1</v>
      </c>
      <c r="G157" s="111">
        <v>1</v>
      </c>
      <c r="H157" s="110"/>
      <c r="I157" s="97">
        <v>1928</v>
      </c>
      <c r="J157" s="119"/>
      <c r="K157" s="112" t="s">
        <v>152</v>
      </c>
      <c r="L157" s="113">
        <v>12.5</v>
      </c>
      <c r="M157" s="101">
        <f t="shared" si="6"/>
        <v>350.0860088609892</v>
      </c>
    </row>
    <row r="158" spans="1:13" ht="15" customHeight="1">
      <c r="A158" s="352"/>
      <c r="B158" s="352"/>
      <c r="C158" s="354"/>
      <c r="D158" s="109">
        <v>1</v>
      </c>
      <c r="E158" s="110"/>
      <c r="F158" s="110">
        <v>1</v>
      </c>
      <c r="G158" s="111">
        <v>1</v>
      </c>
      <c r="H158" s="110"/>
      <c r="I158" s="97">
        <v>1924</v>
      </c>
      <c r="J158" s="119"/>
      <c r="K158" s="112" t="s">
        <v>152</v>
      </c>
      <c r="L158" s="113">
        <v>38.6</v>
      </c>
      <c r="M158" s="101">
        <f t="shared" si="6"/>
        <v>1081.0655953627347</v>
      </c>
    </row>
    <row r="159" spans="1:13" ht="15" customHeight="1">
      <c r="A159" s="352"/>
      <c r="B159" s="352"/>
      <c r="C159" s="354"/>
      <c r="D159" s="109">
        <v>1</v>
      </c>
      <c r="E159" s="110">
        <v>1</v>
      </c>
      <c r="F159" s="110"/>
      <c r="G159" s="111">
        <v>1</v>
      </c>
      <c r="H159" s="110"/>
      <c r="I159" s="97">
        <v>1939</v>
      </c>
      <c r="J159" s="119"/>
      <c r="K159" s="112" t="s">
        <v>152</v>
      </c>
      <c r="L159" s="113">
        <v>66.25</v>
      </c>
      <c r="M159" s="101">
        <f t="shared" si="6"/>
        <v>1855.4558469632427</v>
      </c>
    </row>
    <row r="160" spans="1:13" ht="15" customHeight="1">
      <c r="A160" s="352"/>
      <c r="B160" s="352"/>
      <c r="C160" s="354"/>
      <c r="D160" s="109">
        <v>1</v>
      </c>
      <c r="E160" s="110">
        <v>1</v>
      </c>
      <c r="F160" s="110"/>
      <c r="G160" s="111">
        <v>1</v>
      </c>
      <c r="H160" s="110"/>
      <c r="I160" s="97">
        <v>1926</v>
      </c>
      <c r="J160" s="119"/>
      <c r="K160" s="112" t="s">
        <v>152</v>
      </c>
      <c r="L160" s="113">
        <v>27.9</v>
      </c>
      <c r="M160" s="101">
        <f t="shared" si="6"/>
        <v>781.3919717777278</v>
      </c>
    </row>
    <row r="161" spans="1:13" ht="15" customHeight="1">
      <c r="A161" s="352"/>
      <c r="B161" s="352"/>
      <c r="C161" s="354"/>
      <c r="D161" s="109">
        <v>1</v>
      </c>
      <c r="E161" s="110"/>
      <c r="F161" s="110">
        <v>1</v>
      </c>
      <c r="G161" s="111">
        <v>1</v>
      </c>
      <c r="H161" s="110"/>
      <c r="I161" s="97">
        <v>1912</v>
      </c>
      <c r="J161" s="119"/>
      <c r="K161" s="112" t="s">
        <v>152</v>
      </c>
      <c r="L161" s="113">
        <v>31.25</v>
      </c>
      <c r="M161" s="101">
        <f t="shared" si="6"/>
        <v>875.2150221524729</v>
      </c>
    </row>
    <row r="162" spans="1:13" ht="15" customHeight="1">
      <c r="A162" s="352"/>
      <c r="B162" s="352"/>
      <c r="C162" s="354"/>
      <c r="D162" s="109">
        <v>1</v>
      </c>
      <c r="E162" s="110"/>
      <c r="F162" s="110">
        <v>1</v>
      </c>
      <c r="G162" s="111">
        <v>1</v>
      </c>
      <c r="H162" s="110"/>
      <c r="I162" s="97">
        <v>1927</v>
      </c>
      <c r="J162" s="119"/>
      <c r="K162" s="112" t="s">
        <v>152</v>
      </c>
      <c r="L162" s="113">
        <v>53.83</v>
      </c>
      <c r="M162" s="101">
        <f t="shared" si="6"/>
        <v>1507.6103885589637</v>
      </c>
    </row>
    <row r="163" spans="1:13" ht="15" customHeight="1">
      <c r="A163" s="352"/>
      <c r="B163" s="352"/>
      <c r="C163" s="354"/>
      <c r="D163" s="109">
        <v>1</v>
      </c>
      <c r="E163" s="110">
        <v>1</v>
      </c>
      <c r="F163" s="110"/>
      <c r="G163" s="111">
        <v>1</v>
      </c>
      <c r="H163" s="110"/>
      <c r="I163" s="97">
        <v>1915</v>
      </c>
      <c r="J163" s="119"/>
      <c r="K163" s="112" t="s">
        <v>152</v>
      </c>
      <c r="L163" s="113">
        <v>31.25</v>
      </c>
      <c r="M163" s="101">
        <f t="shared" si="6"/>
        <v>875.2150221524729</v>
      </c>
    </row>
    <row r="164" spans="1:13" ht="15" customHeight="1">
      <c r="A164" s="308" t="s">
        <v>100</v>
      </c>
      <c r="B164" s="308"/>
      <c r="C164" s="68"/>
      <c r="D164" s="68">
        <f>SUM(D132:D163)</f>
        <v>32</v>
      </c>
      <c r="E164" s="68">
        <f>SUM(E132:E163)</f>
        <v>14</v>
      </c>
      <c r="F164" s="68">
        <f>SUM(F132:F163)</f>
        <v>18</v>
      </c>
      <c r="G164" s="68">
        <f>SUM(G132:G163)</f>
        <v>32</v>
      </c>
      <c r="H164" s="68">
        <f>SUM(H132:H163)</f>
        <v>0</v>
      </c>
      <c r="I164" s="68"/>
      <c r="J164" s="68"/>
      <c r="K164" s="68"/>
      <c r="L164" s="115">
        <f>SUM(L132:L163)</f>
        <v>999.0100000000001</v>
      </c>
      <c r="M164" s="105">
        <f>SUM(M132:M163)</f>
        <v>27979.153896977346</v>
      </c>
    </row>
    <row r="165" spans="1:15" ht="15" customHeight="1">
      <c r="A165" s="382" t="s">
        <v>112</v>
      </c>
      <c r="B165" s="383"/>
      <c r="C165" s="252"/>
      <c r="D165" s="123">
        <f>D14+D51+D57+D77+D96+D118+D129+D164+D101</f>
        <v>135</v>
      </c>
      <c r="E165" s="123">
        <f>E14+E51+E57+E77+E96+E118+E129+E164+E101</f>
        <v>55</v>
      </c>
      <c r="F165" s="123">
        <f>F14+F51+F57+F77+F96+F118+F129+F164+F101</f>
        <v>80</v>
      </c>
      <c r="G165" s="123">
        <f>G14+G51+G57+G77+G96+G118+G129+G164+G101</f>
        <v>134</v>
      </c>
      <c r="H165" s="123">
        <f>H14+H51+H57+H77+H96+H118+H129+H164+H101</f>
        <v>1</v>
      </c>
      <c r="I165" s="71"/>
      <c r="J165" s="71"/>
      <c r="K165" s="71"/>
      <c r="L165" s="124">
        <f>L14+L51+L57+L77+L96+L118+L129+L164+L101</f>
        <v>4575.11</v>
      </c>
      <c r="M165" s="125">
        <f>99138.51+28996.05</f>
        <v>128134.56</v>
      </c>
      <c r="O165" s="126"/>
    </row>
    <row r="166" spans="9:13" ht="18.75" customHeight="1">
      <c r="I166" s="56"/>
      <c r="J166" s="56"/>
      <c r="K166" s="56"/>
      <c r="L166" s="128" t="s">
        <v>88</v>
      </c>
      <c r="M166" s="129" t="s">
        <v>88</v>
      </c>
    </row>
  </sheetData>
  <mergeCells count="21">
    <mergeCell ref="A165:B165"/>
    <mergeCell ref="A58:B58"/>
    <mergeCell ref="A77:B77"/>
    <mergeCell ref="A78:B78"/>
    <mergeCell ref="A96:B96"/>
    <mergeCell ref="A97:B97"/>
    <mergeCell ref="A101:B101"/>
    <mergeCell ref="A130:B130"/>
    <mergeCell ref="A164:B164"/>
    <mergeCell ref="A102:B102"/>
    <mergeCell ref="A118:B118"/>
    <mergeCell ref="A119:B119"/>
    <mergeCell ref="A129:B129"/>
    <mergeCell ref="A15:B15"/>
    <mergeCell ref="A51:B51"/>
    <mergeCell ref="A52:B52"/>
    <mergeCell ref="A57:B57"/>
    <mergeCell ref="A1:L1"/>
    <mergeCell ref="A2:M2"/>
    <mergeCell ref="A3:B3"/>
    <mergeCell ref="A14:B14"/>
  </mergeCells>
  <printOptions/>
  <pageMargins left="0.1968503937007874" right="0.1968503937007874" top="0.1968503937007874" bottom="0.1968503937007874" header="0.5118110236220472" footer="0.5118110236220472"/>
  <pageSetup fitToHeight="3"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codeName="Foglio2">
    <tabColor indexed="57"/>
  </sheetPr>
  <dimension ref="A1:AF510"/>
  <sheetViews>
    <sheetView workbookViewId="0" topLeftCell="A484">
      <selection activeCell="C265" sqref="C265"/>
    </sheetView>
  </sheetViews>
  <sheetFormatPr defaultColWidth="9.140625" defaultRowHeight="12.75"/>
  <cols>
    <col min="1" max="2" width="20.7109375" style="44" customWidth="1"/>
    <col min="3" max="3" width="20.7109375" style="80" customWidth="1"/>
    <col min="4" max="4" width="8.140625" style="80" customWidth="1"/>
    <col min="5" max="6" width="5.7109375" style="80" customWidth="1"/>
    <col min="7" max="7" width="9.7109375" style="80" customWidth="1"/>
    <col min="8" max="8" width="9.7109375" style="44" customWidth="1"/>
    <col min="9" max="9" width="13.7109375" style="44" customWidth="1"/>
    <col min="10" max="10" width="10.140625" style="44" customWidth="1"/>
    <col min="11" max="12" width="11.7109375" style="44" customWidth="1"/>
    <col min="13" max="13" width="19.57421875" style="44" customWidth="1"/>
    <col min="14" max="14" width="10.140625" style="57" customWidth="1"/>
    <col min="15" max="15" width="12.8515625" style="57" customWidth="1"/>
    <col min="16" max="16" width="14.00390625" style="57" customWidth="1"/>
    <col min="17" max="32" width="8.8515625" style="57" customWidth="1"/>
    <col min="33" max="16384" width="8.8515625" style="44" customWidth="1"/>
  </cols>
  <sheetData>
    <row r="1" spans="1:13" ht="30" customHeight="1">
      <c r="A1" s="314" t="s">
        <v>153</v>
      </c>
      <c r="B1" s="315"/>
      <c r="C1" s="315"/>
      <c r="D1" s="315"/>
      <c r="E1" s="315"/>
      <c r="F1" s="315"/>
      <c r="G1" s="315"/>
      <c r="H1" s="315"/>
      <c r="I1" s="315"/>
      <c r="J1" s="315"/>
      <c r="K1" s="315"/>
      <c r="L1" s="384" t="s">
        <v>6</v>
      </c>
      <c r="M1" s="385"/>
    </row>
    <row r="2" spans="1:14" ht="76.5" customHeight="1">
      <c r="A2" s="377" t="s">
        <v>115</v>
      </c>
      <c r="B2" s="377"/>
      <c r="C2" s="377"/>
      <c r="D2" s="377"/>
      <c r="E2" s="377"/>
      <c r="F2" s="377"/>
      <c r="G2" s="377"/>
      <c r="H2" s="377"/>
      <c r="I2" s="377"/>
      <c r="J2" s="377"/>
      <c r="K2" s="377"/>
      <c r="L2" s="377"/>
      <c r="M2" s="377"/>
      <c r="N2" s="130"/>
    </row>
    <row r="3" spans="1:16" s="87" customFormat="1" ht="15" customHeight="1">
      <c r="A3" s="381" t="s">
        <v>77</v>
      </c>
      <c r="B3" s="381"/>
      <c r="C3" s="48"/>
      <c r="D3" s="52"/>
      <c r="E3" s="48"/>
      <c r="F3" s="48"/>
      <c r="G3" s="48"/>
      <c r="H3" s="48"/>
      <c r="I3" s="48"/>
      <c r="J3" s="48"/>
      <c r="K3" s="48"/>
      <c r="L3" s="48"/>
      <c r="M3" s="48"/>
      <c r="N3" s="131"/>
      <c r="O3" s="132"/>
      <c r="P3" s="133"/>
    </row>
    <row r="4" spans="1:32" s="136" customFormat="1" ht="44.25" customHeight="1">
      <c r="A4" s="52" t="s">
        <v>2</v>
      </c>
      <c r="B4" s="52" t="s">
        <v>1</v>
      </c>
      <c r="C4" s="52" t="s">
        <v>3</v>
      </c>
      <c r="D4" s="52" t="s">
        <v>120</v>
      </c>
      <c r="E4" s="52" t="s">
        <v>90</v>
      </c>
      <c r="F4" s="52" t="s">
        <v>91</v>
      </c>
      <c r="G4" s="52" t="s">
        <v>140</v>
      </c>
      <c r="H4" s="52" t="s">
        <v>127</v>
      </c>
      <c r="I4" s="52" t="s">
        <v>159</v>
      </c>
      <c r="J4" s="52" t="s">
        <v>119</v>
      </c>
      <c r="K4" s="52" t="s">
        <v>137</v>
      </c>
      <c r="L4" s="52" t="s">
        <v>173</v>
      </c>
      <c r="M4" s="52" t="s">
        <v>19</v>
      </c>
      <c r="N4" s="134"/>
      <c r="O4" s="134"/>
      <c r="P4" s="135"/>
      <c r="Q4" s="135"/>
      <c r="R4" s="135"/>
      <c r="S4" s="135"/>
      <c r="T4" s="135"/>
      <c r="U4" s="135"/>
      <c r="V4" s="135"/>
      <c r="W4" s="135"/>
      <c r="X4" s="135"/>
      <c r="Y4" s="135"/>
      <c r="Z4" s="135"/>
      <c r="AA4" s="135"/>
      <c r="AB4" s="135"/>
      <c r="AC4" s="135"/>
      <c r="AD4" s="135"/>
      <c r="AE4" s="135"/>
      <c r="AF4" s="135"/>
    </row>
    <row r="5" spans="1:13" ht="15" customHeight="1">
      <c r="A5" s="357"/>
      <c r="B5" s="358"/>
      <c r="C5" s="359"/>
      <c r="D5" s="138">
        <v>1</v>
      </c>
      <c r="E5" s="139">
        <v>1</v>
      </c>
      <c r="F5" s="139"/>
      <c r="G5" s="139">
        <v>1</v>
      </c>
      <c r="H5" s="139"/>
      <c r="I5" s="139"/>
      <c r="J5" s="139">
        <v>1953</v>
      </c>
      <c r="K5" s="139" t="s">
        <v>139</v>
      </c>
      <c r="L5" s="96">
        <v>2.33</v>
      </c>
      <c r="M5" s="140">
        <f aca="true" t="shared" si="0" ref="M5:M31">36415.32/1639*L5</f>
        <v>51.76796558877365</v>
      </c>
    </row>
    <row r="6" spans="1:15" ht="15" customHeight="1">
      <c r="A6" s="357"/>
      <c r="B6" s="358"/>
      <c r="C6" s="359"/>
      <c r="D6" s="138">
        <v>1</v>
      </c>
      <c r="E6" s="139"/>
      <c r="F6" s="139">
        <v>1</v>
      </c>
      <c r="G6" s="139">
        <v>1</v>
      </c>
      <c r="H6" s="139"/>
      <c r="I6" s="139"/>
      <c r="J6" s="139">
        <v>1926</v>
      </c>
      <c r="K6" s="139" t="s">
        <v>139</v>
      </c>
      <c r="L6" s="96">
        <v>76.93</v>
      </c>
      <c r="M6" s="140">
        <f t="shared" si="0"/>
        <v>1709.2315848688227</v>
      </c>
      <c r="O6" s="127"/>
    </row>
    <row r="7" spans="1:15" ht="15" customHeight="1">
      <c r="A7" s="357"/>
      <c r="B7" s="358"/>
      <c r="C7" s="359"/>
      <c r="D7" s="138">
        <v>1</v>
      </c>
      <c r="E7" s="139">
        <v>1</v>
      </c>
      <c r="F7" s="139"/>
      <c r="G7" s="139">
        <v>1</v>
      </c>
      <c r="H7" s="139"/>
      <c r="I7" s="139"/>
      <c r="J7" s="139">
        <v>1926</v>
      </c>
      <c r="K7" s="139" t="s">
        <v>138</v>
      </c>
      <c r="L7" s="96">
        <v>8.94</v>
      </c>
      <c r="M7" s="140">
        <f t="shared" si="0"/>
        <v>198.6290181818182</v>
      </c>
      <c r="O7" s="142"/>
    </row>
    <row r="8" spans="1:13" ht="15" customHeight="1">
      <c r="A8" s="357"/>
      <c r="B8" s="358"/>
      <c r="C8" s="359"/>
      <c r="D8" s="138">
        <v>1</v>
      </c>
      <c r="E8" s="139"/>
      <c r="F8" s="139">
        <v>1</v>
      </c>
      <c r="G8" s="139">
        <v>1</v>
      </c>
      <c r="H8" s="139"/>
      <c r="I8" s="139"/>
      <c r="J8" s="139">
        <v>1927</v>
      </c>
      <c r="K8" s="139" t="s">
        <v>139</v>
      </c>
      <c r="L8" s="96">
        <v>3.75</v>
      </c>
      <c r="M8" s="140">
        <f t="shared" si="0"/>
        <v>83.31754118364857</v>
      </c>
    </row>
    <row r="9" spans="1:13" ht="15" customHeight="1">
      <c r="A9" s="357"/>
      <c r="B9" s="358"/>
      <c r="C9" s="359"/>
      <c r="D9" s="138">
        <v>1</v>
      </c>
      <c r="E9" s="139"/>
      <c r="F9" s="139">
        <v>1</v>
      </c>
      <c r="G9" s="139">
        <v>1</v>
      </c>
      <c r="H9" s="139"/>
      <c r="I9" s="139"/>
      <c r="J9" s="139">
        <v>1924</v>
      </c>
      <c r="K9" s="139" t="s">
        <v>139</v>
      </c>
      <c r="L9" s="96">
        <v>46.35</v>
      </c>
      <c r="M9" s="140">
        <f t="shared" si="0"/>
        <v>1029.8048090298964</v>
      </c>
    </row>
    <row r="10" spans="1:13" ht="15" customHeight="1">
      <c r="A10" s="357"/>
      <c r="B10" s="358"/>
      <c r="C10" s="359"/>
      <c r="D10" s="138">
        <v>1</v>
      </c>
      <c r="E10" s="139"/>
      <c r="F10" s="139">
        <v>1</v>
      </c>
      <c r="G10" s="139">
        <v>1</v>
      </c>
      <c r="H10" s="139"/>
      <c r="I10" s="139"/>
      <c r="J10" s="139">
        <v>1923</v>
      </c>
      <c r="K10" s="139" t="s">
        <v>139</v>
      </c>
      <c r="L10" s="96">
        <v>10.4</v>
      </c>
      <c r="M10" s="140">
        <f t="shared" si="0"/>
        <v>231.0673142159854</v>
      </c>
    </row>
    <row r="11" spans="1:13" ht="15" customHeight="1">
      <c r="A11" s="357"/>
      <c r="B11" s="358"/>
      <c r="C11" s="359"/>
      <c r="D11" s="138">
        <v>1</v>
      </c>
      <c r="E11" s="139"/>
      <c r="F11" s="139">
        <v>1</v>
      </c>
      <c r="G11" s="139">
        <v>1</v>
      </c>
      <c r="H11" s="139"/>
      <c r="I11" s="139"/>
      <c r="J11" s="139">
        <v>1927</v>
      </c>
      <c r="K11" s="139" t="s">
        <v>139</v>
      </c>
      <c r="L11" s="96">
        <v>26.58</v>
      </c>
      <c r="M11" s="140">
        <f t="shared" si="0"/>
        <v>590.554731909701</v>
      </c>
    </row>
    <row r="12" spans="1:13" ht="15" customHeight="1">
      <c r="A12" s="357"/>
      <c r="B12" s="358"/>
      <c r="C12" s="359"/>
      <c r="D12" s="138">
        <v>1</v>
      </c>
      <c r="E12" s="139"/>
      <c r="F12" s="139">
        <v>1</v>
      </c>
      <c r="G12" s="139">
        <v>1</v>
      </c>
      <c r="H12" s="139"/>
      <c r="I12" s="139"/>
      <c r="J12" s="139">
        <v>1916</v>
      </c>
      <c r="K12" s="139" t="s">
        <v>139</v>
      </c>
      <c r="L12" s="96">
        <v>203.07</v>
      </c>
      <c r="M12" s="140">
        <f t="shared" si="0"/>
        <v>4511.811490176938</v>
      </c>
    </row>
    <row r="13" spans="1:13" ht="15" customHeight="1">
      <c r="A13" s="357"/>
      <c r="B13" s="358"/>
      <c r="C13" s="359"/>
      <c r="D13" s="138">
        <v>1</v>
      </c>
      <c r="E13" s="139"/>
      <c r="F13" s="139">
        <v>1</v>
      </c>
      <c r="G13" s="139">
        <v>1</v>
      </c>
      <c r="H13" s="139"/>
      <c r="I13" s="139"/>
      <c r="J13" s="139">
        <v>1928</v>
      </c>
      <c r="K13" s="139" t="s">
        <v>139</v>
      </c>
      <c r="L13" s="96">
        <v>53.34</v>
      </c>
      <c r="M13" s="140">
        <f t="shared" si="0"/>
        <v>1185.1087057962175</v>
      </c>
    </row>
    <row r="14" spans="1:13" ht="15" customHeight="1">
      <c r="A14" s="357"/>
      <c r="B14" s="358"/>
      <c r="C14" s="359"/>
      <c r="D14" s="138">
        <v>1</v>
      </c>
      <c r="E14" s="139"/>
      <c r="F14" s="139">
        <v>1</v>
      </c>
      <c r="G14" s="139">
        <v>1</v>
      </c>
      <c r="H14" s="139"/>
      <c r="I14" s="139"/>
      <c r="J14" s="139">
        <v>1923</v>
      </c>
      <c r="K14" s="139" t="s">
        <v>138</v>
      </c>
      <c r="L14" s="96">
        <v>30.05</v>
      </c>
      <c r="M14" s="140">
        <f t="shared" si="0"/>
        <v>667.6512300183039</v>
      </c>
    </row>
    <row r="15" spans="1:13" ht="15" customHeight="1">
      <c r="A15" s="357"/>
      <c r="B15" s="358"/>
      <c r="C15" s="359"/>
      <c r="D15" s="138">
        <v>1</v>
      </c>
      <c r="E15" s="139">
        <v>1</v>
      </c>
      <c r="F15" s="139"/>
      <c r="G15" s="139">
        <v>1</v>
      </c>
      <c r="H15" s="139"/>
      <c r="I15" s="139"/>
      <c r="J15" s="139">
        <v>1920</v>
      </c>
      <c r="K15" s="139" t="s">
        <v>139</v>
      </c>
      <c r="L15" s="96">
        <v>2.23</v>
      </c>
      <c r="M15" s="140">
        <f t="shared" si="0"/>
        <v>49.54616449054301</v>
      </c>
    </row>
    <row r="16" spans="1:13" ht="15" customHeight="1">
      <c r="A16" s="357"/>
      <c r="B16" s="358"/>
      <c r="C16" s="359"/>
      <c r="D16" s="138">
        <v>1</v>
      </c>
      <c r="E16" s="139">
        <v>1</v>
      </c>
      <c r="F16" s="139"/>
      <c r="G16" s="139">
        <v>1</v>
      </c>
      <c r="H16" s="139"/>
      <c r="I16" s="139"/>
      <c r="J16" s="139">
        <v>1939</v>
      </c>
      <c r="K16" s="139" t="s">
        <v>139</v>
      </c>
      <c r="L16" s="96">
        <v>218.45</v>
      </c>
      <c r="M16" s="140">
        <f t="shared" si="0"/>
        <v>4853.524499084808</v>
      </c>
    </row>
    <row r="17" spans="1:13" ht="15" customHeight="1">
      <c r="A17" s="357"/>
      <c r="B17" s="358"/>
      <c r="C17" s="359"/>
      <c r="D17" s="138">
        <v>1</v>
      </c>
      <c r="E17" s="139">
        <v>1</v>
      </c>
      <c r="F17" s="139"/>
      <c r="G17" s="139">
        <v>1</v>
      </c>
      <c r="H17" s="139"/>
      <c r="I17" s="139"/>
      <c r="J17" s="139">
        <v>1922</v>
      </c>
      <c r="K17" s="139" t="s">
        <v>139</v>
      </c>
      <c r="L17" s="96">
        <v>218.95</v>
      </c>
      <c r="M17" s="140">
        <f t="shared" si="0"/>
        <v>4864.633504575961</v>
      </c>
    </row>
    <row r="18" spans="1:13" ht="15" customHeight="1">
      <c r="A18" s="357"/>
      <c r="B18" s="358"/>
      <c r="C18" s="359"/>
      <c r="D18" s="138">
        <v>1</v>
      </c>
      <c r="E18" s="139">
        <v>1</v>
      </c>
      <c r="F18" s="139"/>
      <c r="G18" s="139">
        <v>1</v>
      </c>
      <c r="H18" s="139"/>
      <c r="I18" s="139"/>
      <c r="J18" s="139">
        <v>1929</v>
      </c>
      <c r="K18" s="139" t="s">
        <v>139</v>
      </c>
      <c r="L18" s="96">
        <v>18.8</v>
      </c>
      <c r="M18" s="140">
        <f t="shared" si="0"/>
        <v>417.69860646735816</v>
      </c>
    </row>
    <row r="19" spans="1:13" ht="15" customHeight="1">
      <c r="A19" s="357"/>
      <c r="B19" s="358"/>
      <c r="C19" s="359"/>
      <c r="D19" s="138">
        <v>1</v>
      </c>
      <c r="E19" s="139">
        <v>1</v>
      </c>
      <c r="F19" s="139"/>
      <c r="G19" s="139">
        <v>1</v>
      </c>
      <c r="H19" s="139"/>
      <c r="I19" s="139"/>
      <c r="J19" s="139">
        <v>1934</v>
      </c>
      <c r="K19" s="139" t="s">
        <v>139</v>
      </c>
      <c r="L19" s="96">
        <v>187.62</v>
      </c>
      <c r="M19" s="140">
        <f t="shared" si="0"/>
        <v>4168.543220500305</v>
      </c>
    </row>
    <row r="20" spans="1:13" ht="15" customHeight="1">
      <c r="A20" s="357"/>
      <c r="B20" s="358"/>
      <c r="C20" s="359"/>
      <c r="D20" s="138">
        <v>1</v>
      </c>
      <c r="E20" s="139">
        <v>1</v>
      </c>
      <c r="F20" s="139"/>
      <c r="G20" s="139">
        <v>1</v>
      </c>
      <c r="H20" s="139"/>
      <c r="I20" s="139"/>
      <c r="J20" s="139">
        <v>1936</v>
      </c>
      <c r="K20" s="139" t="s">
        <v>139</v>
      </c>
      <c r="L20" s="96">
        <v>191.73</v>
      </c>
      <c r="M20" s="140">
        <f t="shared" si="0"/>
        <v>4259.859245637584</v>
      </c>
    </row>
    <row r="21" spans="1:13" ht="15" customHeight="1">
      <c r="A21" s="357"/>
      <c r="B21" s="358"/>
      <c r="C21" s="359"/>
      <c r="D21" s="138">
        <v>1</v>
      </c>
      <c r="E21" s="139">
        <v>1</v>
      </c>
      <c r="F21" s="139"/>
      <c r="G21" s="139">
        <v>1</v>
      </c>
      <c r="H21" s="139"/>
      <c r="I21" s="139"/>
      <c r="J21" s="139">
        <v>1930</v>
      </c>
      <c r="K21" s="139" t="s">
        <v>139</v>
      </c>
      <c r="L21" s="96">
        <v>1.73</v>
      </c>
      <c r="M21" s="140">
        <f t="shared" si="0"/>
        <v>38.43715899938987</v>
      </c>
    </row>
    <row r="22" spans="1:13" ht="15" customHeight="1">
      <c r="A22" s="357"/>
      <c r="B22" s="358"/>
      <c r="C22" s="359"/>
      <c r="D22" s="138">
        <v>1</v>
      </c>
      <c r="E22" s="139"/>
      <c r="F22" s="139">
        <v>1</v>
      </c>
      <c r="G22" s="139">
        <v>1</v>
      </c>
      <c r="H22" s="139"/>
      <c r="I22" s="139"/>
      <c r="J22" s="139">
        <v>1919</v>
      </c>
      <c r="K22" s="139" t="s">
        <v>139</v>
      </c>
      <c r="L22" s="96">
        <v>2</v>
      </c>
      <c r="M22" s="140">
        <f t="shared" si="0"/>
        <v>44.43602196461257</v>
      </c>
    </row>
    <row r="23" spans="1:13" ht="15" customHeight="1">
      <c r="A23" s="357"/>
      <c r="B23" s="358"/>
      <c r="C23" s="359"/>
      <c r="D23" s="138">
        <v>1</v>
      </c>
      <c r="E23" s="139">
        <v>1</v>
      </c>
      <c r="F23" s="139"/>
      <c r="G23" s="139">
        <v>1</v>
      </c>
      <c r="H23" s="139"/>
      <c r="I23" s="139"/>
      <c r="J23" s="139">
        <v>1917</v>
      </c>
      <c r="K23" s="139" t="s">
        <v>138</v>
      </c>
      <c r="L23" s="96">
        <v>44.68</v>
      </c>
      <c r="M23" s="140">
        <f t="shared" si="0"/>
        <v>992.7007306894449</v>
      </c>
    </row>
    <row r="24" spans="1:13" ht="15" customHeight="1">
      <c r="A24" s="357"/>
      <c r="B24" s="358"/>
      <c r="C24" s="359"/>
      <c r="D24" s="138">
        <v>1</v>
      </c>
      <c r="E24" s="139"/>
      <c r="F24" s="139">
        <v>1</v>
      </c>
      <c r="G24" s="139">
        <v>1</v>
      </c>
      <c r="H24" s="139"/>
      <c r="I24" s="139"/>
      <c r="J24" s="139">
        <v>1920</v>
      </c>
      <c r="K24" s="139" t="s">
        <v>139</v>
      </c>
      <c r="L24" s="96">
        <v>45.85</v>
      </c>
      <c r="M24" s="140">
        <f t="shared" si="0"/>
        <v>1018.6958035387432</v>
      </c>
    </row>
    <row r="25" spans="1:13" ht="15" customHeight="1">
      <c r="A25" s="357"/>
      <c r="B25" s="358"/>
      <c r="C25" s="359"/>
      <c r="D25" s="138">
        <v>1</v>
      </c>
      <c r="E25" s="139">
        <v>1</v>
      </c>
      <c r="F25" s="139"/>
      <c r="G25" s="139">
        <v>1</v>
      </c>
      <c r="H25" s="139"/>
      <c r="I25" s="139"/>
      <c r="J25" s="139">
        <v>1939</v>
      </c>
      <c r="K25" s="139" t="s">
        <v>139</v>
      </c>
      <c r="L25" s="96">
        <v>3</v>
      </c>
      <c r="M25" s="140">
        <f t="shared" si="0"/>
        <v>66.65403294691886</v>
      </c>
    </row>
    <row r="26" spans="1:13" ht="15" customHeight="1">
      <c r="A26" s="357"/>
      <c r="B26" s="358"/>
      <c r="C26" s="359"/>
      <c r="D26" s="138">
        <v>1</v>
      </c>
      <c r="E26" s="139"/>
      <c r="F26" s="139">
        <v>1</v>
      </c>
      <c r="G26" s="139">
        <v>1</v>
      </c>
      <c r="H26" s="139"/>
      <c r="I26" s="139"/>
      <c r="J26" s="139">
        <v>1922</v>
      </c>
      <c r="K26" s="139" t="s">
        <v>139</v>
      </c>
      <c r="L26" s="96">
        <v>178.93</v>
      </c>
      <c r="M26" s="140">
        <f t="shared" si="0"/>
        <v>3975.4687050640637</v>
      </c>
    </row>
    <row r="27" spans="1:13" ht="15" customHeight="1">
      <c r="A27" s="357"/>
      <c r="B27" s="358"/>
      <c r="C27" s="359"/>
      <c r="D27" s="138">
        <v>1</v>
      </c>
      <c r="E27" s="139"/>
      <c r="F27" s="139">
        <v>1</v>
      </c>
      <c r="G27" s="139">
        <v>1</v>
      </c>
      <c r="H27" s="139"/>
      <c r="I27" s="139"/>
      <c r="J27" s="139">
        <v>1947</v>
      </c>
      <c r="K27" s="139" t="s">
        <v>139</v>
      </c>
      <c r="L27" s="96">
        <v>15.92</v>
      </c>
      <c r="M27" s="140">
        <f t="shared" si="0"/>
        <v>353.71073483831606</v>
      </c>
    </row>
    <row r="28" spans="1:13" ht="15" customHeight="1">
      <c r="A28" s="357"/>
      <c r="B28" s="358"/>
      <c r="C28" s="359"/>
      <c r="D28" s="138">
        <v>1</v>
      </c>
      <c r="E28" s="139">
        <v>1</v>
      </c>
      <c r="F28" s="139"/>
      <c r="G28" s="139">
        <v>1</v>
      </c>
      <c r="H28" s="139"/>
      <c r="I28" s="139"/>
      <c r="J28" s="139">
        <v>1938</v>
      </c>
      <c r="K28" s="139" t="s">
        <v>139</v>
      </c>
      <c r="L28" s="96">
        <v>1.9</v>
      </c>
      <c r="M28" s="140">
        <f t="shared" si="0"/>
        <v>42.21422086638194</v>
      </c>
    </row>
    <row r="29" spans="1:13" ht="15" customHeight="1">
      <c r="A29" s="357"/>
      <c r="B29" s="358"/>
      <c r="C29" s="359"/>
      <c r="D29" s="138">
        <v>1</v>
      </c>
      <c r="E29" s="139">
        <v>1</v>
      </c>
      <c r="F29" s="139"/>
      <c r="G29" s="139">
        <v>1</v>
      </c>
      <c r="H29" s="139"/>
      <c r="I29" s="139"/>
      <c r="J29" s="97">
        <v>1932</v>
      </c>
      <c r="K29" s="139" t="s">
        <v>139</v>
      </c>
      <c r="L29" s="96">
        <v>5.2</v>
      </c>
      <c r="M29" s="140">
        <f t="shared" si="0"/>
        <v>115.5336571079927</v>
      </c>
    </row>
    <row r="30" spans="1:13" ht="15" customHeight="1">
      <c r="A30" s="357"/>
      <c r="B30" s="358"/>
      <c r="C30" s="359"/>
      <c r="D30" s="138">
        <v>1</v>
      </c>
      <c r="E30" s="139"/>
      <c r="F30" s="139">
        <v>1</v>
      </c>
      <c r="G30" s="139">
        <v>1</v>
      </c>
      <c r="H30" s="139"/>
      <c r="I30" s="139"/>
      <c r="J30" s="139">
        <v>1937</v>
      </c>
      <c r="K30" s="139" t="s">
        <v>138</v>
      </c>
      <c r="L30" s="96">
        <v>4.47</v>
      </c>
      <c r="M30" s="140">
        <f t="shared" si="0"/>
        <v>99.3145090909091</v>
      </c>
    </row>
    <row r="31" spans="1:13" ht="15" customHeight="1">
      <c r="A31" s="357"/>
      <c r="B31" s="358"/>
      <c r="C31" s="359"/>
      <c r="D31" s="138">
        <v>1</v>
      </c>
      <c r="E31" s="139">
        <v>1</v>
      </c>
      <c r="F31" s="139"/>
      <c r="G31" s="139">
        <v>1</v>
      </c>
      <c r="H31" s="139"/>
      <c r="I31" s="139"/>
      <c r="J31" s="97">
        <v>1925</v>
      </c>
      <c r="K31" s="139" t="s">
        <v>138</v>
      </c>
      <c r="L31" s="96">
        <v>36.29</v>
      </c>
      <c r="M31" s="140">
        <f t="shared" si="0"/>
        <v>806.291618547895</v>
      </c>
    </row>
    <row r="32" spans="1:14" s="87" customFormat="1" ht="15" customHeight="1">
      <c r="A32" s="374" t="s">
        <v>93</v>
      </c>
      <c r="B32" s="374"/>
      <c r="C32" s="84"/>
      <c r="D32" s="143">
        <f>SUM(D5:D31)</f>
        <v>27</v>
      </c>
      <c r="E32" s="143">
        <f>SUM(E5:E31)</f>
        <v>14</v>
      </c>
      <c r="F32" s="143">
        <f>SUM(F5:F31)</f>
        <v>13</v>
      </c>
      <c r="G32" s="143">
        <f>SUM(G5:G31)</f>
        <v>27</v>
      </c>
      <c r="H32" s="143">
        <f>SUM(H5:H31)</f>
        <v>0</v>
      </c>
      <c r="I32" s="143"/>
      <c r="J32" s="143"/>
      <c r="K32" s="143"/>
      <c r="L32" s="143">
        <f>SUM(L5:L31)</f>
        <v>1639.4900000000002</v>
      </c>
      <c r="M32" s="144">
        <f>33013.98+3401.34</f>
        <v>36415.32000000001</v>
      </c>
      <c r="N32" s="145"/>
    </row>
    <row r="33" spans="1:16" s="87" customFormat="1" ht="15" customHeight="1">
      <c r="A33" s="381" t="s">
        <v>78</v>
      </c>
      <c r="B33" s="381"/>
      <c r="C33" s="48"/>
      <c r="D33" s="48"/>
      <c r="E33" s="48"/>
      <c r="F33" s="48"/>
      <c r="G33" s="48"/>
      <c r="H33" s="48"/>
      <c r="I33" s="48"/>
      <c r="J33" s="48"/>
      <c r="K33" s="48"/>
      <c r="L33" s="48"/>
      <c r="M33" s="48"/>
      <c r="N33" s="131"/>
      <c r="O33" s="132"/>
      <c r="P33" s="133"/>
    </row>
    <row r="34" spans="1:32" s="136" customFormat="1" ht="44.25" customHeight="1">
      <c r="A34" s="52" t="s">
        <v>2</v>
      </c>
      <c r="B34" s="52" t="s">
        <v>1</v>
      </c>
      <c r="C34" s="52" t="s">
        <v>3</v>
      </c>
      <c r="D34" s="52" t="s">
        <v>120</v>
      </c>
      <c r="E34" s="52" t="s">
        <v>90</v>
      </c>
      <c r="F34" s="52" t="s">
        <v>91</v>
      </c>
      <c r="G34" s="52" t="s">
        <v>140</v>
      </c>
      <c r="H34" s="52" t="s">
        <v>127</v>
      </c>
      <c r="I34" s="52" t="s">
        <v>159</v>
      </c>
      <c r="J34" s="52" t="s">
        <v>119</v>
      </c>
      <c r="K34" s="52" t="s">
        <v>137</v>
      </c>
      <c r="L34" s="52" t="s">
        <v>173</v>
      </c>
      <c r="M34" s="52" t="s">
        <v>19</v>
      </c>
      <c r="N34" s="134"/>
      <c r="O34" s="134"/>
      <c r="P34" s="135"/>
      <c r="Q34" s="135"/>
      <c r="R34" s="135"/>
      <c r="S34" s="135"/>
      <c r="T34" s="135"/>
      <c r="U34" s="135"/>
      <c r="V34" s="135"/>
      <c r="W34" s="135"/>
      <c r="X34" s="135"/>
      <c r="Y34" s="135"/>
      <c r="Z34" s="135"/>
      <c r="AA34" s="135"/>
      <c r="AB34" s="135"/>
      <c r="AC34" s="135"/>
      <c r="AD34" s="135"/>
      <c r="AE34" s="135"/>
      <c r="AF34" s="135"/>
    </row>
    <row r="35" spans="1:13" ht="15" customHeight="1">
      <c r="A35" s="357"/>
      <c r="B35" s="357"/>
      <c r="C35" s="359"/>
      <c r="D35" s="138">
        <v>1</v>
      </c>
      <c r="E35" s="146"/>
      <c r="F35" s="146">
        <v>1</v>
      </c>
      <c r="G35" s="138">
        <v>1</v>
      </c>
      <c r="H35" s="146"/>
      <c r="I35" s="146"/>
      <c r="J35" s="139">
        <v>1943</v>
      </c>
      <c r="K35" s="139" t="s">
        <v>139</v>
      </c>
      <c r="L35" s="96">
        <v>4</v>
      </c>
      <c r="M35" s="140">
        <f>191593/9548*L35</f>
        <v>80.26518642647675</v>
      </c>
    </row>
    <row r="36" spans="1:13" ht="15" customHeight="1">
      <c r="A36" s="360"/>
      <c r="B36" s="357"/>
      <c r="C36" s="359"/>
      <c r="D36" s="138">
        <v>1</v>
      </c>
      <c r="E36" s="146"/>
      <c r="F36" s="146">
        <v>1</v>
      </c>
      <c r="G36" s="138">
        <v>1</v>
      </c>
      <c r="H36" s="146"/>
      <c r="I36" s="146"/>
      <c r="J36" s="139">
        <v>1928</v>
      </c>
      <c r="K36" s="139" t="s">
        <v>139</v>
      </c>
      <c r="L36" s="96">
        <v>3</v>
      </c>
      <c r="M36" s="140">
        <f aca="true" t="shared" si="1" ref="M36:M99">191593/9548*L36</f>
        <v>60.198889819857555</v>
      </c>
    </row>
    <row r="37" spans="1:13" ht="15" customHeight="1">
      <c r="A37" s="360"/>
      <c r="B37" s="357"/>
      <c r="C37" s="359"/>
      <c r="D37" s="138">
        <v>1</v>
      </c>
      <c r="E37" s="146"/>
      <c r="F37" s="146">
        <v>1</v>
      </c>
      <c r="G37" s="138">
        <v>1</v>
      </c>
      <c r="H37" s="146"/>
      <c r="I37" s="146"/>
      <c r="J37" s="139">
        <v>1930</v>
      </c>
      <c r="K37" s="139" t="s">
        <v>139</v>
      </c>
      <c r="L37" s="96">
        <v>3.35</v>
      </c>
      <c r="M37" s="140">
        <f t="shared" si="1"/>
        <v>67.22209363217428</v>
      </c>
    </row>
    <row r="38" spans="1:13" ht="15" customHeight="1">
      <c r="A38" s="360"/>
      <c r="B38" s="357"/>
      <c r="C38" s="359"/>
      <c r="D38" s="138">
        <v>1</v>
      </c>
      <c r="E38" s="146"/>
      <c r="F38" s="146">
        <v>1</v>
      </c>
      <c r="G38" s="138">
        <v>1</v>
      </c>
      <c r="H38" s="146"/>
      <c r="I38" s="146"/>
      <c r="J38" s="139">
        <v>1911</v>
      </c>
      <c r="K38" s="139" t="s">
        <v>139</v>
      </c>
      <c r="L38" s="96">
        <v>2.85</v>
      </c>
      <c r="M38" s="140">
        <f t="shared" si="1"/>
        <v>57.18894532886468</v>
      </c>
    </row>
    <row r="39" spans="1:13" ht="15" customHeight="1">
      <c r="A39" s="360"/>
      <c r="B39" s="357"/>
      <c r="C39" s="359"/>
      <c r="D39" s="138">
        <v>1</v>
      </c>
      <c r="E39" s="147">
        <v>1</v>
      </c>
      <c r="F39" s="147"/>
      <c r="G39" s="138">
        <v>1</v>
      </c>
      <c r="H39" s="55"/>
      <c r="I39" s="55"/>
      <c r="J39" s="139">
        <v>1933</v>
      </c>
      <c r="K39" s="139" t="s">
        <v>139</v>
      </c>
      <c r="L39" s="96">
        <v>470.57</v>
      </c>
      <c r="M39" s="140">
        <f t="shared" si="1"/>
        <v>9442.597194176791</v>
      </c>
    </row>
    <row r="40" spans="1:13" ht="15" customHeight="1">
      <c r="A40" s="360"/>
      <c r="B40" s="357"/>
      <c r="C40" s="359"/>
      <c r="D40" s="138">
        <v>1</v>
      </c>
      <c r="E40" s="147"/>
      <c r="F40" s="147">
        <v>1</v>
      </c>
      <c r="G40" s="138">
        <v>1</v>
      </c>
      <c r="H40" s="55"/>
      <c r="I40" s="55"/>
      <c r="J40" s="139">
        <v>1940</v>
      </c>
      <c r="K40" s="139" t="s">
        <v>139</v>
      </c>
      <c r="L40" s="96">
        <v>59.48</v>
      </c>
      <c r="M40" s="140">
        <f t="shared" si="1"/>
        <v>1193.543322161709</v>
      </c>
    </row>
    <row r="41" spans="1:13" ht="15" customHeight="1">
      <c r="A41" s="360"/>
      <c r="B41" s="357"/>
      <c r="C41" s="359"/>
      <c r="D41" s="138">
        <v>1</v>
      </c>
      <c r="E41" s="147"/>
      <c r="F41" s="147">
        <v>1</v>
      </c>
      <c r="G41" s="138">
        <v>1</v>
      </c>
      <c r="H41" s="55"/>
      <c r="I41" s="55"/>
      <c r="J41" s="139">
        <v>1923</v>
      </c>
      <c r="K41" s="139" t="s">
        <v>138</v>
      </c>
      <c r="L41" s="96">
        <v>46.54</v>
      </c>
      <c r="M41" s="140">
        <f t="shared" si="1"/>
        <v>933.8854440720569</v>
      </c>
    </row>
    <row r="42" spans="1:13" ht="15" customHeight="1">
      <c r="A42" s="360"/>
      <c r="B42" s="357"/>
      <c r="C42" s="359"/>
      <c r="D42" s="138">
        <v>1</v>
      </c>
      <c r="E42" s="147"/>
      <c r="F42" s="147">
        <v>1</v>
      </c>
      <c r="G42" s="138">
        <v>1</v>
      </c>
      <c r="H42" s="55"/>
      <c r="I42" s="55"/>
      <c r="J42" s="139">
        <v>1923</v>
      </c>
      <c r="K42" s="139" t="s">
        <v>139</v>
      </c>
      <c r="L42" s="96">
        <v>139.59</v>
      </c>
      <c r="M42" s="140">
        <f t="shared" si="1"/>
        <v>2801.0543433179723</v>
      </c>
    </row>
    <row r="43" spans="1:13" ht="15" customHeight="1">
      <c r="A43" s="360"/>
      <c r="B43" s="357"/>
      <c r="C43" s="359"/>
      <c r="D43" s="138">
        <v>1</v>
      </c>
      <c r="E43" s="147"/>
      <c r="F43" s="147">
        <v>1</v>
      </c>
      <c r="G43" s="138">
        <v>1</v>
      </c>
      <c r="H43" s="55"/>
      <c r="I43" s="55"/>
      <c r="J43" s="139">
        <v>1940</v>
      </c>
      <c r="K43" s="139" t="s">
        <v>139</v>
      </c>
      <c r="L43" s="96">
        <v>46.39</v>
      </c>
      <c r="M43" s="140">
        <f t="shared" si="1"/>
        <v>930.8754995810641</v>
      </c>
    </row>
    <row r="44" spans="1:13" ht="15" customHeight="1">
      <c r="A44" s="360"/>
      <c r="B44" s="357"/>
      <c r="C44" s="359"/>
      <c r="D44" s="138">
        <v>1</v>
      </c>
      <c r="E44" s="147"/>
      <c r="F44" s="147">
        <v>1</v>
      </c>
      <c r="G44" s="138">
        <v>1</v>
      </c>
      <c r="H44" s="55"/>
      <c r="I44" s="55"/>
      <c r="J44" s="139">
        <v>1932</v>
      </c>
      <c r="K44" s="139" t="s">
        <v>138</v>
      </c>
      <c r="L44" s="96">
        <v>20.02</v>
      </c>
      <c r="M44" s="140">
        <f t="shared" si="1"/>
        <v>401.7272580645161</v>
      </c>
    </row>
    <row r="45" spans="1:13" ht="15" customHeight="1">
      <c r="A45" s="360"/>
      <c r="B45" s="357"/>
      <c r="C45" s="359"/>
      <c r="D45" s="138">
        <v>1</v>
      </c>
      <c r="E45" s="147">
        <v>1</v>
      </c>
      <c r="F45" s="147"/>
      <c r="G45" s="138">
        <v>1</v>
      </c>
      <c r="H45" s="55"/>
      <c r="I45" s="55"/>
      <c r="J45" s="139">
        <v>1928</v>
      </c>
      <c r="K45" s="139" t="s">
        <v>139</v>
      </c>
      <c r="L45" s="96">
        <v>109.75</v>
      </c>
      <c r="M45" s="140">
        <f t="shared" si="1"/>
        <v>2202.2760525764556</v>
      </c>
    </row>
    <row r="46" spans="1:13" ht="15" customHeight="1">
      <c r="A46" s="360"/>
      <c r="B46" s="357"/>
      <c r="C46" s="359"/>
      <c r="D46" s="138">
        <v>1</v>
      </c>
      <c r="E46" s="147"/>
      <c r="F46" s="147">
        <v>1</v>
      </c>
      <c r="G46" s="138">
        <v>1</v>
      </c>
      <c r="H46" s="55"/>
      <c r="I46" s="55"/>
      <c r="J46" s="139">
        <v>1924</v>
      </c>
      <c r="K46" s="139" t="s">
        <v>138</v>
      </c>
      <c r="L46" s="96">
        <v>20.97</v>
      </c>
      <c r="M46" s="140">
        <f t="shared" si="1"/>
        <v>420.7902398408043</v>
      </c>
    </row>
    <row r="47" spans="1:13" ht="15" customHeight="1">
      <c r="A47" s="360"/>
      <c r="B47" s="357"/>
      <c r="C47" s="359"/>
      <c r="D47" s="138">
        <v>1</v>
      </c>
      <c r="E47" s="147"/>
      <c r="F47" s="147">
        <v>1</v>
      </c>
      <c r="G47" s="138">
        <v>1</v>
      </c>
      <c r="H47" s="55"/>
      <c r="I47" s="55"/>
      <c r="J47" s="139">
        <v>1939</v>
      </c>
      <c r="K47" s="139" t="s">
        <v>139</v>
      </c>
      <c r="L47" s="96">
        <v>3</v>
      </c>
      <c r="M47" s="140">
        <f t="shared" si="1"/>
        <v>60.198889819857555</v>
      </c>
    </row>
    <row r="48" spans="1:13" ht="15" customHeight="1">
      <c r="A48" s="360"/>
      <c r="B48" s="357"/>
      <c r="C48" s="359"/>
      <c r="D48" s="138">
        <v>1</v>
      </c>
      <c r="E48" s="147">
        <v>1</v>
      </c>
      <c r="F48" s="147"/>
      <c r="G48" s="138">
        <v>1</v>
      </c>
      <c r="H48" s="55"/>
      <c r="I48" s="55"/>
      <c r="J48" s="139">
        <v>1935</v>
      </c>
      <c r="K48" s="139" t="s">
        <v>138</v>
      </c>
      <c r="L48" s="96">
        <v>267.77</v>
      </c>
      <c r="M48" s="140">
        <f t="shared" si="1"/>
        <v>5373.152242354419</v>
      </c>
    </row>
    <row r="49" spans="1:13" ht="15" customHeight="1">
      <c r="A49" s="360"/>
      <c r="B49" s="357"/>
      <c r="C49" s="359"/>
      <c r="D49" s="138">
        <v>1</v>
      </c>
      <c r="E49" s="96"/>
      <c r="F49" s="147">
        <v>1</v>
      </c>
      <c r="G49" s="138"/>
      <c r="H49" s="147">
        <v>1</v>
      </c>
      <c r="I49" s="96" t="s">
        <v>135</v>
      </c>
      <c r="J49" s="139">
        <v>1930</v>
      </c>
      <c r="K49" s="139" t="s">
        <v>139</v>
      </c>
      <c r="L49" s="96">
        <v>42.19</v>
      </c>
      <c r="M49" s="140">
        <f t="shared" si="1"/>
        <v>846.5970538332634</v>
      </c>
    </row>
    <row r="50" spans="1:13" ht="15" customHeight="1">
      <c r="A50" s="360"/>
      <c r="B50" s="357"/>
      <c r="C50" s="359"/>
      <c r="D50" s="138">
        <v>1</v>
      </c>
      <c r="E50" s="147"/>
      <c r="F50" s="147">
        <v>1</v>
      </c>
      <c r="G50" s="138">
        <v>1</v>
      </c>
      <c r="H50" s="55"/>
      <c r="I50" s="55"/>
      <c r="J50" s="139">
        <v>1929</v>
      </c>
      <c r="K50" s="139" t="s">
        <v>139</v>
      </c>
      <c r="L50" s="96">
        <v>286.86</v>
      </c>
      <c r="M50" s="140">
        <f t="shared" si="1"/>
        <v>5756.21784457478</v>
      </c>
    </row>
    <row r="51" spans="1:13" ht="15" customHeight="1">
      <c r="A51" s="360"/>
      <c r="B51" s="357"/>
      <c r="C51" s="359"/>
      <c r="D51" s="138">
        <v>1</v>
      </c>
      <c r="E51" s="147"/>
      <c r="F51" s="147">
        <v>1</v>
      </c>
      <c r="G51" s="138">
        <v>1</v>
      </c>
      <c r="H51" s="55"/>
      <c r="I51" s="55"/>
      <c r="J51" s="139">
        <v>1931</v>
      </c>
      <c r="K51" s="139" t="s">
        <v>139</v>
      </c>
      <c r="L51" s="96">
        <v>26</v>
      </c>
      <c r="M51" s="140">
        <f t="shared" si="1"/>
        <v>521.7237117720988</v>
      </c>
    </row>
    <row r="52" spans="1:13" ht="15" customHeight="1">
      <c r="A52" s="360"/>
      <c r="B52" s="357"/>
      <c r="C52" s="359"/>
      <c r="D52" s="138">
        <v>1</v>
      </c>
      <c r="E52" s="147">
        <v>1</v>
      </c>
      <c r="F52" s="147"/>
      <c r="G52" s="138">
        <v>1</v>
      </c>
      <c r="H52" s="55"/>
      <c r="I52" s="55"/>
      <c r="J52" s="139">
        <v>1921</v>
      </c>
      <c r="K52" s="139" t="s">
        <v>139</v>
      </c>
      <c r="L52" s="96">
        <v>23.75</v>
      </c>
      <c r="M52" s="140">
        <f t="shared" si="1"/>
        <v>476.5745444072057</v>
      </c>
    </row>
    <row r="53" spans="1:13" ht="15" customHeight="1">
      <c r="A53" s="360"/>
      <c r="B53" s="357"/>
      <c r="C53" s="359"/>
      <c r="D53" s="138">
        <v>1</v>
      </c>
      <c r="E53" s="147"/>
      <c r="F53" s="147">
        <v>1</v>
      </c>
      <c r="G53" s="138">
        <v>1</v>
      </c>
      <c r="H53" s="55"/>
      <c r="I53" s="55"/>
      <c r="J53" s="139">
        <v>1931</v>
      </c>
      <c r="K53" s="139" t="s">
        <v>139</v>
      </c>
      <c r="L53" s="96">
        <v>82.15</v>
      </c>
      <c r="M53" s="140">
        <f t="shared" si="1"/>
        <v>1648.4462662337662</v>
      </c>
    </row>
    <row r="54" spans="1:13" ht="15" customHeight="1">
      <c r="A54" s="360"/>
      <c r="B54" s="357"/>
      <c r="C54" s="359"/>
      <c r="D54" s="138">
        <v>1</v>
      </c>
      <c r="E54" s="147"/>
      <c r="F54" s="147">
        <v>1</v>
      </c>
      <c r="G54" s="138">
        <v>1</v>
      </c>
      <c r="H54" s="55"/>
      <c r="I54" s="55"/>
      <c r="J54" s="139">
        <v>1924</v>
      </c>
      <c r="K54" s="139" t="s">
        <v>139</v>
      </c>
      <c r="L54" s="96">
        <v>2.85</v>
      </c>
      <c r="M54" s="140">
        <f t="shared" si="1"/>
        <v>57.18894532886468</v>
      </c>
    </row>
    <row r="55" spans="1:13" ht="15" customHeight="1">
      <c r="A55" s="360"/>
      <c r="B55" s="357"/>
      <c r="C55" s="359"/>
      <c r="D55" s="138">
        <v>1</v>
      </c>
      <c r="E55" s="147"/>
      <c r="F55" s="147">
        <v>1</v>
      </c>
      <c r="G55" s="138">
        <v>1</v>
      </c>
      <c r="H55" s="55"/>
      <c r="I55" s="55"/>
      <c r="J55" s="139">
        <v>1919</v>
      </c>
      <c r="K55" s="139" t="s">
        <v>139</v>
      </c>
      <c r="L55" s="96">
        <v>48.16</v>
      </c>
      <c r="M55" s="140">
        <f t="shared" si="1"/>
        <v>966.3928445747799</v>
      </c>
    </row>
    <row r="56" spans="1:13" ht="15" customHeight="1">
      <c r="A56" s="360"/>
      <c r="B56" s="357"/>
      <c r="C56" s="359"/>
      <c r="D56" s="138">
        <v>1</v>
      </c>
      <c r="E56" s="147">
        <v>1</v>
      </c>
      <c r="F56" s="147"/>
      <c r="G56" s="138">
        <v>1</v>
      </c>
      <c r="H56" s="55"/>
      <c r="I56" s="55"/>
      <c r="J56" s="139">
        <v>1928</v>
      </c>
      <c r="K56" s="139" t="s">
        <v>139</v>
      </c>
      <c r="L56" s="96">
        <v>464.57</v>
      </c>
      <c r="M56" s="140">
        <f t="shared" si="1"/>
        <v>9322.199414537075</v>
      </c>
    </row>
    <row r="57" spans="1:13" ht="15" customHeight="1">
      <c r="A57" s="360"/>
      <c r="B57" s="357"/>
      <c r="C57" s="359"/>
      <c r="D57" s="138">
        <v>1</v>
      </c>
      <c r="E57" s="147">
        <v>1</v>
      </c>
      <c r="F57" s="147"/>
      <c r="G57" s="138">
        <v>1</v>
      </c>
      <c r="H57" s="55"/>
      <c r="I57" s="55"/>
      <c r="J57" s="139">
        <v>1923</v>
      </c>
      <c r="K57" s="139" t="s">
        <v>139</v>
      </c>
      <c r="L57" s="96">
        <v>44.98</v>
      </c>
      <c r="M57" s="140">
        <f t="shared" si="1"/>
        <v>902.582021365731</v>
      </c>
    </row>
    <row r="58" spans="1:13" ht="15" customHeight="1">
      <c r="A58" s="360"/>
      <c r="B58" s="357"/>
      <c r="C58" s="359"/>
      <c r="D58" s="138">
        <v>1</v>
      </c>
      <c r="E58" s="147">
        <v>1</v>
      </c>
      <c r="F58" s="147"/>
      <c r="G58" s="138">
        <v>1</v>
      </c>
      <c r="H58" s="55"/>
      <c r="I58" s="55"/>
      <c r="J58" s="139">
        <v>1926</v>
      </c>
      <c r="K58" s="139" t="s">
        <v>139</v>
      </c>
      <c r="L58" s="96">
        <v>53.6</v>
      </c>
      <c r="M58" s="140">
        <f t="shared" si="1"/>
        <v>1075.5534981147885</v>
      </c>
    </row>
    <row r="59" spans="1:13" ht="15" customHeight="1">
      <c r="A59" s="360"/>
      <c r="B59" s="357"/>
      <c r="C59" s="359"/>
      <c r="D59" s="138">
        <v>1</v>
      </c>
      <c r="E59" s="147"/>
      <c r="F59" s="147">
        <v>1</v>
      </c>
      <c r="G59" s="138">
        <v>1</v>
      </c>
      <c r="H59" s="55"/>
      <c r="I59" s="55"/>
      <c r="J59" s="139">
        <v>1923</v>
      </c>
      <c r="K59" s="139" t="s">
        <v>139</v>
      </c>
      <c r="L59" s="96">
        <v>70.49</v>
      </c>
      <c r="M59" s="140">
        <f t="shared" si="1"/>
        <v>1414.4732478005863</v>
      </c>
    </row>
    <row r="60" spans="1:13" ht="15" customHeight="1">
      <c r="A60" s="360"/>
      <c r="B60" s="357"/>
      <c r="C60" s="359"/>
      <c r="D60" s="138">
        <v>1</v>
      </c>
      <c r="E60" s="147">
        <v>1</v>
      </c>
      <c r="F60" s="147"/>
      <c r="G60" s="138">
        <v>1</v>
      </c>
      <c r="H60" s="55"/>
      <c r="I60" s="55"/>
      <c r="J60" s="139">
        <v>1935</v>
      </c>
      <c r="K60" s="139" t="s">
        <v>139</v>
      </c>
      <c r="L60" s="96">
        <v>123.17</v>
      </c>
      <c r="M60" s="140">
        <f t="shared" si="1"/>
        <v>2471.565753037285</v>
      </c>
    </row>
    <row r="61" spans="1:13" ht="15" customHeight="1">
      <c r="A61" s="360"/>
      <c r="B61" s="357"/>
      <c r="C61" s="359"/>
      <c r="D61" s="138">
        <v>1</v>
      </c>
      <c r="E61" s="147">
        <v>1</v>
      </c>
      <c r="F61" s="147"/>
      <c r="G61" s="138">
        <v>1</v>
      </c>
      <c r="H61" s="55"/>
      <c r="I61" s="55"/>
      <c r="J61" s="139">
        <v>1943</v>
      </c>
      <c r="K61" s="139" t="s">
        <v>138</v>
      </c>
      <c r="L61" s="96">
        <v>1.37</v>
      </c>
      <c r="M61" s="140">
        <f t="shared" si="1"/>
        <v>27.490826351068286</v>
      </c>
    </row>
    <row r="62" spans="1:13" ht="15" customHeight="1">
      <c r="A62" s="360"/>
      <c r="B62" s="357"/>
      <c r="C62" s="359"/>
      <c r="D62" s="138">
        <v>1</v>
      </c>
      <c r="E62" s="147"/>
      <c r="F62" s="147">
        <v>1</v>
      </c>
      <c r="G62" s="138">
        <v>1</v>
      </c>
      <c r="H62" s="55"/>
      <c r="I62" s="55"/>
      <c r="J62" s="139">
        <v>1928</v>
      </c>
      <c r="K62" s="139" t="s">
        <v>139</v>
      </c>
      <c r="L62" s="96">
        <v>63.93</v>
      </c>
      <c r="M62" s="140">
        <f t="shared" si="1"/>
        <v>1282.8383420611647</v>
      </c>
    </row>
    <row r="63" spans="1:13" ht="15" customHeight="1">
      <c r="A63" s="360"/>
      <c r="B63" s="357"/>
      <c r="C63" s="359"/>
      <c r="D63" s="138">
        <v>1</v>
      </c>
      <c r="E63" s="147">
        <v>1</v>
      </c>
      <c r="F63" s="147"/>
      <c r="G63" s="138">
        <v>1</v>
      </c>
      <c r="H63" s="55"/>
      <c r="I63" s="55"/>
      <c r="J63" s="139">
        <v>1916</v>
      </c>
      <c r="K63" s="139" t="s">
        <v>139</v>
      </c>
      <c r="L63" s="96">
        <v>3.85</v>
      </c>
      <c r="M63" s="140">
        <f t="shared" si="1"/>
        <v>77.25524193548387</v>
      </c>
    </row>
    <row r="64" spans="1:13" ht="15" customHeight="1">
      <c r="A64" s="360"/>
      <c r="B64" s="357"/>
      <c r="C64" s="359"/>
      <c r="D64" s="138">
        <v>1</v>
      </c>
      <c r="E64" s="147">
        <v>1</v>
      </c>
      <c r="F64" s="147"/>
      <c r="G64" s="138">
        <v>1</v>
      </c>
      <c r="H64" s="55"/>
      <c r="I64" s="55"/>
      <c r="J64" s="139">
        <v>1936</v>
      </c>
      <c r="K64" s="139" t="s">
        <v>139</v>
      </c>
      <c r="L64" s="96">
        <v>24.69</v>
      </c>
      <c r="M64" s="140">
        <f t="shared" si="1"/>
        <v>495.43686321742774</v>
      </c>
    </row>
    <row r="65" spans="1:13" ht="15" customHeight="1">
      <c r="A65" s="357"/>
      <c r="B65" s="357"/>
      <c r="C65" s="359"/>
      <c r="D65" s="138">
        <v>1</v>
      </c>
      <c r="E65" s="147"/>
      <c r="F65" s="147">
        <v>1</v>
      </c>
      <c r="G65" s="138">
        <v>1</v>
      </c>
      <c r="H65" s="55"/>
      <c r="I65" s="55"/>
      <c r="J65" s="139">
        <v>1934</v>
      </c>
      <c r="K65" s="139" t="s">
        <v>139</v>
      </c>
      <c r="L65" s="96">
        <v>96.03</v>
      </c>
      <c r="M65" s="140">
        <f t="shared" si="1"/>
        <v>1926.9664631336404</v>
      </c>
    </row>
    <row r="66" spans="1:13" ht="15" customHeight="1">
      <c r="A66" s="357"/>
      <c r="B66" s="357"/>
      <c r="C66" s="359"/>
      <c r="D66" s="138">
        <v>1</v>
      </c>
      <c r="E66" s="147"/>
      <c r="F66" s="147">
        <v>1</v>
      </c>
      <c r="G66" s="138">
        <v>1</v>
      </c>
      <c r="H66" s="55"/>
      <c r="I66" s="55"/>
      <c r="J66" s="139">
        <v>1929</v>
      </c>
      <c r="K66" s="139" t="s">
        <v>139</v>
      </c>
      <c r="L66" s="96">
        <v>17.93</v>
      </c>
      <c r="M66" s="140">
        <f t="shared" si="1"/>
        <v>359.788698156682</v>
      </c>
    </row>
    <row r="67" spans="1:13" ht="15" customHeight="1">
      <c r="A67" s="357"/>
      <c r="B67" s="357"/>
      <c r="C67" s="359"/>
      <c r="D67" s="138">
        <v>1</v>
      </c>
      <c r="E67" s="147"/>
      <c r="F67" s="147">
        <v>1</v>
      </c>
      <c r="G67" s="138">
        <v>1</v>
      </c>
      <c r="H67" s="55"/>
      <c r="I67" s="55"/>
      <c r="J67" s="139">
        <v>1917</v>
      </c>
      <c r="K67" s="139" t="s">
        <v>139</v>
      </c>
      <c r="L67" s="96">
        <v>1</v>
      </c>
      <c r="M67" s="140">
        <f t="shared" si="1"/>
        <v>20.066296606619186</v>
      </c>
    </row>
    <row r="68" spans="1:13" ht="15" customHeight="1">
      <c r="A68" s="357"/>
      <c r="B68" s="357"/>
      <c r="C68" s="359"/>
      <c r="D68" s="138">
        <v>1</v>
      </c>
      <c r="E68" s="147">
        <v>1</v>
      </c>
      <c r="F68" s="147"/>
      <c r="G68" s="138">
        <v>1</v>
      </c>
      <c r="H68" s="55"/>
      <c r="I68" s="55"/>
      <c r="J68" s="139">
        <v>1941</v>
      </c>
      <c r="K68" s="139" t="s">
        <v>139</v>
      </c>
      <c r="L68" s="96">
        <v>184.47</v>
      </c>
      <c r="M68" s="140">
        <f t="shared" si="1"/>
        <v>3701.629735023041</v>
      </c>
    </row>
    <row r="69" spans="1:13" ht="15" customHeight="1">
      <c r="A69" s="357"/>
      <c r="B69" s="357"/>
      <c r="C69" s="359"/>
      <c r="D69" s="138">
        <v>1</v>
      </c>
      <c r="E69" s="147">
        <v>1</v>
      </c>
      <c r="F69" s="147"/>
      <c r="G69" s="138">
        <v>1</v>
      </c>
      <c r="H69" s="55"/>
      <c r="I69" s="55"/>
      <c r="J69" s="139">
        <v>1921</v>
      </c>
      <c r="K69" s="139" t="s">
        <v>139</v>
      </c>
      <c r="L69" s="96">
        <v>16.54</v>
      </c>
      <c r="M69" s="140">
        <f t="shared" si="1"/>
        <v>331.89654587348133</v>
      </c>
    </row>
    <row r="70" spans="1:13" ht="15" customHeight="1">
      <c r="A70" s="357"/>
      <c r="B70" s="357"/>
      <c r="C70" s="359"/>
      <c r="D70" s="138">
        <v>1</v>
      </c>
      <c r="E70" s="147"/>
      <c r="F70" s="147">
        <v>1</v>
      </c>
      <c r="G70" s="138">
        <v>1</v>
      </c>
      <c r="H70" s="55"/>
      <c r="I70" s="55"/>
      <c r="J70" s="139">
        <v>1914</v>
      </c>
      <c r="K70" s="139" t="s">
        <v>139</v>
      </c>
      <c r="L70" s="96">
        <v>6.65</v>
      </c>
      <c r="M70" s="140">
        <f t="shared" si="1"/>
        <v>133.4408724340176</v>
      </c>
    </row>
    <row r="71" spans="1:13" ht="15" customHeight="1">
      <c r="A71" s="357"/>
      <c r="B71" s="357"/>
      <c r="C71" s="359"/>
      <c r="D71" s="138">
        <v>1</v>
      </c>
      <c r="E71" s="147"/>
      <c r="F71" s="147">
        <v>1</v>
      </c>
      <c r="G71" s="138">
        <v>1</v>
      </c>
      <c r="H71" s="55"/>
      <c r="I71" s="55"/>
      <c r="J71" s="139">
        <v>1926</v>
      </c>
      <c r="K71" s="139" t="s">
        <v>139</v>
      </c>
      <c r="L71" s="96">
        <v>3.13</v>
      </c>
      <c r="M71" s="140">
        <f t="shared" si="1"/>
        <v>62.807508378718055</v>
      </c>
    </row>
    <row r="72" spans="1:13" ht="15" customHeight="1">
      <c r="A72" s="357"/>
      <c r="B72" s="357"/>
      <c r="C72" s="359"/>
      <c r="D72" s="138">
        <v>1</v>
      </c>
      <c r="E72" s="147">
        <v>1</v>
      </c>
      <c r="F72" s="147"/>
      <c r="G72" s="138">
        <v>1</v>
      </c>
      <c r="H72" s="55"/>
      <c r="I72" s="55"/>
      <c r="J72" s="139">
        <v>1927</v>
      </c>
      <c r="K72" s="139" t="s">
        <v>139</v>
      </c>
      <c r="L72" s="96">
        <v>298.17</v>
      </c>
      <c r="M72" s="140">
        <f t="shared" si="1"/>
        <v>5983.167659195643</v>
      </c>
    </row>
    <row r="73" spans="1:13" ht="15" customHeight="1">
      <c r="A73" s="357"/>
      <c r="B73" s="357"/>
      <c r="C73" s="359"/>
      <c r="D73" s="138">
        <v>1</v>
      </c>
      <c r="E73" s="147"/>
      <c r="F73" s="147">
        <v>1</v>
      </c>
      <c r="G73" s="138">
        <v>1</v>
      </c>
      <c r="H73" s="55"/>
      <c r="I73" s="55"/>
      <c r="J73" s="139">
        <v>1923</v>
      </c>
      <c r="K73" s="139" t="s">
        <v>139</v>
      </c>
      <c r="L73" s="96">
        <v>7.6</v>
      </c>
      <c r="M73" s="140">
        <f t="shared" si="1"/>
        <v>152.5038542103058</v>
      </c>
    </row>
    <row r="74" spans="1:13" ht="15" customHeight="1">
      <c r="A74" s="357"/>
      <c r="B74" s="357"/>
      <c r="C74" s="359"/>
      <c r="D74" s="138">
        <v>1</v>
      </c>
      <c r="E74" s="147">
        <v>1</v>
      </c>
      <c r="F74" s="147"/>
      <c r="G74" s="138">
        <v>1</v>
      </c>
      <c r="H74" s="55"/>
      <c r="I74" s="55"/>
      <c r="J74" s="139">
        <v>1927</v>
      </c>
      <c r="K74" s="139" t="s">
        <v>139</v>
      </c>
      <c r="L74" s="96">
        <v>2.85</v>
      </c>
      <c r="M74" s="140">
        <f t="shared" si="1"/>
        <v>57.18894532886468</v>
      </c>
    </row>
    <row r="75" spans="1:13" ht="15" customHeight="1">
      <c r="A75" s="357"/>
      <c r="B75" s="357"/>
      <c r="C75" s="359"/>
      <c r="D75" s="138">
        <v>1</v>
      </c>
      <c r="E75" s="147"/>
      <c r="F75" s="147">
        <v>1</v>
      </c>
      <c r="G75" s="138">
        <v>1</v>
      </c>
      <c r="H75" s="55"/>
      <c r="I75" s="55"/>
      <c r="J75" s="139">
        <v>1923</v>
      </c>
      <c r="K75" s="139" t="s">
        <v>138</v>
      </c>
      <c r="L75" s="96">
        <v>161.65</v>
      </c>
      <c r="M75" s="140">
        <f t="shared" si="1"/>
        <v>3243.7168464599918</v>
      </c>
    </row>
    <row r="76" spans="1:13" ht="15" customHeight="1">
      <c r="A76" s="357"/>
      <c r="B76" s="357"/>
      <c r="C76" s="359"/>
      <c r="D76" s="138">
        <v>1</v>
      </c>
      <c r="E76" s="147"/>
      <c r="F76" s="147">
        <v>1</v>
      </c>
      <c r="G76" s="138">
        <v>1</v>
      </c>
      <c r="H76" s="55"/>
      <c r="I76" s="55"/>
      <c r="J76" s="139">
        <v>1932</v>
      </c>
      <c r="K76" s="139" t="s">
        <v>139</v>
      </c>
      <c r="L76" s="96">
        <v>40.48</v>
      </c>
      <c r="M76" s="140">
        <f t="shared" si="1"/>
        <v>812.2836866359446</v>
      </c>
    </row>
    <row r="77" spans="1:13" ht="15" customHeight="1">
      <c r="A77" s="357"/>
      <c r="B77" s="357"/>
      <c r="C77" s="359"/>
      <c r="D77" s="138">
        <v>1</v>
      </c>
      <c r="E77" s="147">
        <v>1</v>
      </c>
      <c r="F77" s="147"/>
      <c r="G77" s="138">
        <v>1</v>
      </c>
      <c r="H77" s="55"/>
      <c r="I77" s="55"/>
      <c r="J77" s="139">
        <v>1917</v>
      </c>
      <c r="K77" s="139" t="s">
        <v>139</v>
      </c>
      <c r="L77" s="96">
        <v>38.94</v>
      </c>
      <c r="M77" s="140">
        <f t="shared" si="1"/>
        <v>781.3815898617511</v>
      </c>
    </row>
    <row r="78" spans="1:13" ht="15" customHeight="1">
      <c r="A78" s="357"/>
      <c r="B78" s="357"/>
      <c r="C78" s="359"/>
      <c r="D78" s="138">
        <v>1</v>
      </c>
      <c r="E78" s="147">
        <v>1</v>
      </c>
      <c r="F78" s="147"/>
      <c r="G78" s="138">
        <v>1</v>
      </c>
      <c r="H78" s="55"/>
      <c r="I78" s="55"/>
      <c r="J78" s="139">
        <v>1942</v>
      </c>
      <c r="K78" s="139" t="s">
        <v>139</v>
      </c>
      <c r="L78" s="96">
        <v>4</v>
      </c>
      <c r="M78" s="140">
        <f t="shared" si="1"/>
        <v>80.26518642647675</v>
      </c>
    </row>
    <row r="79" spans="1:13" ht="15" customHeight="1">
      <c r="A79" s="357"/>
      <c r="B79" s="357"/>
      <c r="C79" s="359"/>
      <c r="D79" s="138">
        <v>1</v>
      </c>
      <c r="E79" s="147">
        <v>1</v>
      </c>
      <c r="F79" s="147"/>
      <c r="G79" s="138">
        <v>1</v>
      </c>
      <c r="H79" s="55"/>
      <c r="I79" s="55"/>
      <c r="J79" s="139">
        <v>1926</v>
      </c>
      <c r="K79" s="139" t="s">
        <v>139</v>
      </c>
      <c r="L79" s="96">
        <v>95.73</v>
      </c>
      <c r="M79" s="140">
        <f t="shared" si="1"/>
        <v>1920.9465741516549</v>
      </c>
    </row>
    <row r="80" spans="1:13" ht="15" customHeight="1">
      <c r="A80" s="357"/>
      <c r="B80" s="361"/>
      <c r="C80" s="359"/>
      <c r="D80" s="138">
        <v>1</v>
      </c>
      <c r="E80" s="147">
        <v>1</v>
      </c>
      <c r="F80" s="147"/>
      <c r="G80" s="138">
        <v>1</v>
      </c>
      <c r="H80" s="55"/>
      <c r="I80" s="55"/>
      <c r="J80" s="139">
        <v>1947</v>
      </c>
      <c r="K80" s="139" t="s">
        <v>139</v>
      </c>
      <c r="L80" s="96">
        <f>951.47-50</f>
        <v>901.47</v>
      </c>
      <c r="M80" s="140">
        <f t="shared" si="1"/>
        <v>18089.164401969</v>
      </c>
    </row>
    <row r="81" spans="1:13" ht="15" customHeight="1">
      <c r="A81" s="357"/>
      <c r="B81" s="357"/>
      <c r="C81" s="359"/>
      <c r="D81" s="138">
        <v>1</v>
      </c>
      <c r="E81" s="147">
        <v>1</v>
      </c>
      <c r="F81" s="147"/>
      <c r="G81" s="138">
        <v>1</v>
      </c>
      <c r="H81" s="55"/>
      <c r="I81" s="55"/>
      <c r="J81" s="139">
        <v>1922</v>
      </c>
      <c r="K81" s="139" t="s">
        <v>139</v>
      </c>
      <c r="L81" s="96">
        <v>15.36</v>
      </c>
      <c r="M81" s="140">
        <f t="shared" si="1"/>
        <v>308.2183158776707</v>
      </c>
    </row>
    <row r="82" spans="1:13" ht="15" customHeight="1">
      <c r="A82" s="357"/>
      <c r="B82" s="357"/>
      <c r="C82" s="359"/>
      <c r="D82" s="138">
        <v>1</v>
      </c>
      <c r="E82" s="147"/>
      <c r="F82" s="147">
        <v>1</v>
      </c>
      <c r="G82" s="138">
        <v>1</v>
      </c>
      <c r="H82" s="55"/>
      <c r="I82" s="55"/>
      <c r="J82" s="139">
        <v>1932</v>
      </c>
      <c r="K82" s="139" t="s">
        <v>139</v>
      </c>
      <c r="L82" s="96">
        <v>19.4</v>
      </c>
      <c r="M82" s="140">
        <f t="shared" si="1"/>
        <v>389.28615416841217</v>
      </c>
    </row>
    <row r="83" spans="1:13" ht="15" customHeight="1">
      <c r="A83" s="357"/>
      <c r="B83" s="357"/>
      <c r="C83" s="359"/>
      <c r="D83" s="138">
        <v>1</v>
      </c>
      <c r="E83" s="147">
        <v>1</v>
      </c>
      <c r="F83" s="147"/>
      <c r="G83" s="138">
        <v>1</v>
      </c>
      <c r="H83" s="55"/>
      <c r="I83" s="55"/>
      <c r="J83" s="139">
        <v>1938</v>
      </c>
      <c r="K83" s="139" t="s">
        <v>139</v>
      </c>
      <c r="L83" s="96">
        <v>112.63</v>
      </c>
      <c r="M83" s="140">
        <f t="shared" si="1"/>
        <v>2260.066986803519</v>
      </c>
    </row>
    <row r="84" spans="1:13" ht="15" customHeight="1">
      <c r="A84" s="357"/>
      <c r="B84" s="357"/>
      <c r="C84" s="359"/>
      <c r="D84" s="138">
        <v>1</v>
      </c>
      <c r="E84" s="147">
        <v>1</v>
      </c>
      <c r="F84" s="147"/>
      <c r="G84" s="138">
        <v>1</v>
      </c>
      <c r="H84" s="55"/>
      <c r="I84" s="55"/>
      <c r="J84" s="139">
        <v>1931</v>
      </c>
      <c r="K84" s="139" t="s">
        <v>139</v>
      </c>
      <c r="L84" s="96">
        <v>43.86</v>
      </c>
      <c r="M84" s="140">
        <f t="shared" si="1"/>
        <v>880.1077691663176</v>
      </c>
    </row>
    <row r="85" spans="1:13" ht="15" customHeight="1">
      <c r="A85" s="357"/>
      <c r="B85" s="357"/>
      <c r="C85" s="359"/>
      <c r="D85" s="138">
        <v>1</v>
      </c>
      <c r="E85" s="147"/>
      <c r="F85" s="147">
        <v>1</v>
      </c>
      <c r="G85" s="138">
        <v>1</v>
      </c>
      <c r="H85" s="55"/>
      <c r="I85" s="55"/>
      <c r="J85" s="139">
        <v>1933</v>
      </c>
      <c r="K85" s="139" t="s">
        <v>139</v>
      </c>
      <c r="L85" s="96">
        <v>41.8</v>
      </c>
      <c r="M85" s="140">
        <f t="shared" si="1"/>
        <v>838.771198156682</v>
      </c>
    </row>
    <row r="86" spans="1:13" ht="15" customHeight="1">
      <c r="A86" s="357"/>
      <c r="B86" s="357"/>
      <c r="C86" s="359"/>
      <c r="D86" s="138">
        <v>1</v>
      </c>
      <c r="E86" s="147"/>
      <c r="F86" s="147">
        <v>1</v>
      </c>
      <c r="G86" s="138">
        <v>1</v>
      </c>
      <c r="H86" s="55"/>
      <c r="I86" s="55"/>
      <c r="J86" s="139">
        <v>1940</v>
      </c>
      <c r="K86" s="139" t="s">
        <v>139</v>
      </c>
      <c r="L86" s="96">
        <v>161.31</v>
      </c>
      <c r="M86" s="140">
        <f t="shared" si="1"/>
        <v>3236.894305613741</v>
      </c>
    </row>
    <row r="87" spans="1:13" ht="15" customHeight="1">
      <c r="A87" s="357"/>
      <c r="B87" s="357"/>
      <c r="C87" s="359"/>
      <c r="D87" s="138">
        <v>1</v>
      </c>
      <c r="E87" s="147">
        <v>1</v>
      </c>
      <c r="F87" s="147"/>
      <c r="G87" s="138">
        <v>1</v>
      </c>
      <c r="H87" s="55"/>
      <c r="I87" s="55"/>
      <c r="J87" s="139">
        <v>1923</v>
      </c>
      <c r="K87" s="139" t="s">
        <v>139</v>
      </c>
      <c r="L87" s="96">
        <v>48.43</v>
      </c>
      <c r="M87" s="140">
        <f t="shared" si="1"/>
        <v>971.8107446585672</v>
      </c>
    </row>
    <row r="88" spans="1:13" ht="15" customHeight="1">
      <c r="A88" s="357"/>
      <c r="B88" s="357"/>
      <c r="C88" s="359"/>
      <c r="D88" s="138">
        <v>1</v>
      </c>
      <c r="E88" s="147"/>
      <c r="F88" s="147">
        <v>1</v>
      </c>
      <c r="G88" s="138">
        <v>1</v>
      </c>
      <c r="H88" s="55"/>
      <c r="I88" s="55"/>
      <c r="J88" s="139">
        <v>1931</v>
      </c>
      <c r="K88" s="139" t="s">
        <v>139</v>
      </c>
      <c r="L88" s="96">
        <v>1</v>
      </c>
      <c r="M88" s="140">
        <f t="shared" si="1"/>
        <v>20.066296606619186</v>
      </c>
    </row>
    <row r="89" spans="1:13" ht="15" customHeight="1">
      <c r="A89" s="357"/>
      <c r="B89" s="357"/>
      <c r="C89" s="359"/>
      <c r="D89" s="138">
        <v>1</v>
      </c>
      <c r="E89" s="147"/>
      <c r="F89" s="147">
        <v>1</v>
      </c>
      <c r="G89" s="138">
        <v>1</v>
      </c>
      <c r="H89" s="55"/>
      <c r="I89" s="55"/>
      <c r="J89" s="139">
        <v>1931</v>
      </c>
      <c r="K89" s="139" t="s">
        <v>139</v>
      </c>
      <c r="L89" s="96">
        <v>16.15</v>
      </c>
      <c r="M89" s="140">
        <f t="shared" si="1"/>
        <v>324.0706901968998</v>
      </c>
    </row>
    <row r="90" spans="1:13" ht="15" customHeight="1">
      <c r="A90" s="357"/>
      <c r="B90" s="357"/>
      <c r="C90" s="359"/>
      <c r="D90" s="138">
        <v>1</v>
      </c>
      <c r="E90" s="147"/>
      <c r="F90" s="147">
        <v>1</v>
      </c>
      <c r="G90" s="138">
        <v>1</v>
      </c>
      <c r="H90" s="55"/>
      <c r="I90" s="55"/>
      <c r="J90" s="139">
        <v>1925</v>
      </c>
      <c r="K90" s="139" t="s">
        <v>139</v>
      </c>
      <c r="L90" s="96">
        <v>1.62</v>
      </c>
      <c r="M90" s="140">
        <f t="shared" si="1"/>
        <v>32.50740050272309</v>
      </c>
    </row>
    <row r="91" spans="1:13" ht="15" customHeight="1">
      <c r="A91" s="357"/>
      <c r="B91" s="357"/>
      <c r="C91" s="359"/>
      <c r="D91" s="138">
        <v>1</v>
      </c>
      <c r="E91" s="147"/>
      <c r="F91" s="147">
        <v>1</v>
      </c>
      <c r="G91" s="138">
        <v>1</v>
      </c>
      <c r="H91" s="55"/>
      <c r="I91" s="55"/>
      <c r="J91" s="139">
        <v>1934</v>
      </c>
      <c r="K91" s="139" t="s">
        <v>139</v>
      </c>
      <c r="L91" s="96">
        <v>8</v>
      </c>
      <c r="M91" s="140">
        <f t="shared" si="1"/>
        <v>160.5303728529535</v>
      </c>
    </row>
    <row r="92" spans="1:13" ht="15" customHeight="1">
      <c r="A92" s="357"/>
      <c r="B92" s="357"/>
      <c r="C92" s="359"/>
      <c r="D92" s="138">
        <v>1</v>
      </c>
      <c r="E92" s="147"/>
      <c r="F92" s="147">
        <v>1</v>
      </c>
      <c r="G92" s="138">
        <v>1</v>
      </c>
      <c r="H92" s="55"/>
      <c r="I92" s="55"/>
      <c r="J92" s="139">
        <v>1932</v>
      </c>
      <c r="K92" s="139" t="s">
        <v>139</v>
      </c>
      <c r="L92" s="96">
        <v>2.85</v>
      </c>
      <c r="M92" s="140">
        <f t="shared" si="1"/>
        <v>57.18894532886468</v>
      </c>
    </row>
    <row r="93" spans="1:13" ht="15" customHeight="1">
      <c r="A93" s="357"/>
      <c r="B93" s="357"/>
      <c r="C93" s="359"/>
      <c r="D93" s="138">
        <v>1</v>
      </c>
      <c r="E93" s="147"/>
      <c r="F93" s="147">
        <v>1</v>
      </c>
      <c r="G93" s="138">
        <v>1</v>
      </c>
      <c r="H93" s="55"/>
      <c r="I93" s="55"/>
      <c r="J93" s="139">
        <v>1930</v>
      </c>
      <c r="K93" s="139" t="s">
        <v>139</v>
      </c>
      <c r="L93" s="96">
        <v>1</v>
      </c>
      <c r="M93" s="140">
        <f t="shared" si="1"/>
        <v>20.066296606619186</v>
      </c>
    </row>
    <row r="94" spans="1:13" ht="15" customHeight="1">
      <c r="A94" s="357"/>
      <c r="B94" s="357"/>
      <c r="C94" s="359"/>
      <c r="D94" s="138">
        <v>1</v>
      </c>
      <c r="E94" s="147"/>
      <c r="F94" s="147">
        <v>1</v>
      </c>
      <c r="G94" s="138">
        <v>1</v>
      </c>
      <c r="H94" s="55"/>
      <c r="I94" s="55"/>
      <c r="J94" s="139">
        <v>1920</v>
      </c>
      <c r="K94" s="139" t="s">
        <v>139</v>
      </c>
      <c r="L94" s="96">
        <v>42.75</v>
      </c>
      <c r="M94" s="140">
        <f t="shared" si="1"/>
        <v>857.8341799329702</v>
      </c>
    </row>
    <row r="95" spans="1:13" ht="15" customHeight="1">
      <c r="A95" s="357"/>
      <c r="B95" s="357"/>
      <c r="C95" s="359"/>
      <c r="D95" s="138">
        <v>1</v>
      </c>
      <c r="E95" s="147"/>
      <c r="F95" s="147">
        <v>1</v>
      </c>
      <c r="G95" s="138">
        <v>1</v>
      </c>
      <c r="H95" s="55"/>
      <c r="I95" s="55"/>
      <c r="J95" s="139">
        <v>1921</v>
      </c>
      <c r="K95" s="139" t="s">
        <v>139</v>
      </c>
      <c r="L95" s="96">
        <v>3.8</v>
      </c>
      <c r="M95" s="140">
        <f t="shared" si="1"/>
        <v>76.2519271051529</v>
      </c>
    </row>
    <row r="96" spans="1:13" ht="15" customHeight="1">
      <c r="A96" s="357"/>
      <c r="B96" s="357"/>
      <c r="C96" s="359"/>
      <c r="D96" s="138">
        <v>1</v>
      </c>
      <c r="E96" s="147"/>
      <c r="F96" s="147">
        <v>1</v>
      </c>
      <c r="G96" s="138">
        <v>1</v>
      </c>
      <c r="H96" s="55"/>
      <c r="I96" s="55"/>
      <c r="J96" s="139">
        <v>1920</v>
      </c>
      <c r="K96" s="139" t="s">
        <v>139</v>
      </c>
      <c r="L96" s="96">
        <v>1.9</v>
      </c>
      <c r="M96" s="140">
        <f t="shared" si="1"/>
        <v>38.12596355257645</v>
      </c>
    </row>
    <row r="97" spans="1:13" ht="15" customHeight="1">
      <c r="A97" s="357"/>
      <c r="B97" s="357"/>
      <c r="C97" s="359"/>
      <c r="D97" s="138">
        <v>1</v>
      </c>
      <c r="E97" s="147"/>
      <c r="F97" s="147">
        <v>1</v>
      </c>
      <c r="G97" s="138">
        <v>1</v>
      </c>
      <c r="H97" s="55"/>
      <c r="I97" s="55"/>
      <c r="J97" s="139">
        <v>1929</v>
      </c>
      <c r="K97" s="139" t="s">
        <v>139</v>
      </c>
      <c r="L97" s="96">
        <v>1</v>
      </c>
      <c r="M97" s="140">
        <f t="shared" si="1"/>
        <v>20.066296606619186</v>
      </c>
    </row>
    <row r="98" spans="1:13" ht="15" customHeight="1">
      <c r="A98" s="357"/>
      <c r="B98" s="357"/>
      <c r="C98" s="359"/>
      <c r="D98" s="138">
        <v>1</v>
      </c>
      <c r="E98" s="147">
        <v>1</v>
      </c>
      <c r="F98" s="147"/>
      <c r="G98" s="138">
        <v>1</v>
      </c>
      <c r="H98" s="55"/>
      <c r="I98" s="55"/>
      <c r="J98" s="139">
        <v>1933</v>
      </c>
      <c r="K98" s="139" t="s">
        <v>139</v>
      </c>
      <c r="L98" s="96">
        <v>90</v>
      </c>
      <c r="M98" s="140">
        <f t="shared" si="1"/>
        <v>1805.9666945957267</v>
      </c>
    </row>
    <row r="99" spans="1:13" ht="15" customHeight="1">
      <c r="A99" s="357"/>
      <c r="B99" s="357"/>
      <c r="C99" s="359"/>
      <c r="D99" s="138">
        <v>1</v>
      </c>
      <c r="E99" s="147"/>
      <c r="F99" s="147">
        <v>1</v>
      </c>
      <c r="G99" s="138">
        <v>1</v>
      </c>
      <c r="H99" s="55"/>
      <c r="I99" s="55"/>
      <c r="J99" s="139">
        <v>1924</v>
      </c>
      <c r="K99" s="139" t="s">
        <v>139</v>
      </c>
      <c r="L99" s="96">
        <v>186.38</v>
      </c>
      <c r="M99" s="140">
        <f t="shared" si="1"/>
        <v>3739.9563615416837</v>
      </c>
    </row>
    <row r="100" spans="1:13" ht="15" customHeight="1">
      <c r="A100" s="357"/>
      <c r="B100" s="357"/>
      <c r="C100" s="359"/>
      <c r="D100" s="138">
        <v>1</v>
      </c>
      <c r="E100" s="147"/>
      <c r="F100" s="147">
        <v>1</v>
      </c>
      <c r="G100" s="138">
        <v>1</v>
      </c>
      <c r="H100" s="55"/>
      <c r="I100" s="55"/>
      <c r="J100" s="139">
        <v>1937</v>
      </c>
      <c r="K100" s="139" t="s">
        <v>139</v>
      </c>
      <c r="L100" s="96">
        <v>19</v>
      </c>
      <c r="M100" s="140">
        <f aca="true" t="shared" si="2" ref="M100:M163">191593/9548*L100</f>
        <v>381.25963552576457</v>
      </c>
    </row>
    <row r="101" spans="1:13" ht="15" customHeight="1">
      <c r="A101" s="357"/>
      <c r="B101" s="357"/>
      <c r="C101" s="359"/>
      <c r="D101" s="138">
        <v>1</v>
      </c>
      <c r="E101" s="147"/>
      <c r="F101" s="147">
        <v>1</v>
      </c>
      <c r="G101" s="138">
        <v>1</v>
      </c>
      <c r="H101" s="55"/>
      <c r="I101" s="55"/>
      <c r="J101" s="139">
        <v>1920</v>
      </c>
      <c r="K101" s="139" t="s">
        <v>139</v>
      </c>
      <c r="L101" s="96">
        <v>4.75</v>
      </c>
      <c r="M101" s="140">
        <f t="shared" si="2"/>
        <v>95.31490888144114</v>
      </c>
    </row>
    <row r="102" spans="1:13" ht="15" customHeight="1">
      <c r="A102" s="357"/>
      <c r="B102" s="357"/>
      <c r="C102" s="359"/>
      <c r="D102" s="138">
        <v>1</v>
      </c>
      <c r="E102" s="147"/>
      <c r="F102" s="147">
        <v>1</v>
      </c>
      <c r="G102" s="138">
        <v>1</v>
      </c>
      <c r="H102" s="55"/>
      <c r="I102" s="55"/>
      <c r="J102" s="139">
        <v>1919</v>
      </c>
      <c r="K102" s="139" t="s">
        <v>139</v>
      </c>
      <c r="L102" s="96">
        <v>0</v>
      </c>
      <c r="M102" s="140">
        <f t="shared" si="2"/>
        <v>0</v>
      </c>
    </row>
    <row r="103" spans="1:13" ht="15" customHeight="1">
      <c r="A103" s="357"/>
      <c r="B103" s="357"/>
      <c r="C103" s="359"/>
      <c r="D103" s="138">
        <v>1</v>
      </c>
      <c r="E103" s="147">
        <v>1</v>
      </c>
      <c r="F103" s="147"/>
      <c r="G103" s="138">
        <v>1</v>
      </c>
      <c r="H103" s="55"/>
      <c r="I103" s="55"/>
      <c r="J103" s="139">
        <v>1932</v>
      </c>
      <c r="K103" s="139" t="s">
        <v>139</v>
      </c>
      <c r="L103" s="96">
        <v>47.45</v>
      </c>
      <c r="M103" s="140">
        <f t="shared" si="2"/>
        <v>952.1457739840805</v>
      </c>
    </row>
    <row r="104" spans="1:13" ht="15" customHeight="1">
      <c r="A104" s="357"/>
      <c r="B104" s="357"/>
      <c r="C104" s="359"/>
      <c r="D104" s="138">
        <v>1</v>
      </c>
      <c r="E104" s="147"/>
      <c r="F104" s="147">
        <v>1</v>
      </c>
      <c r="G104" s="138">
        <v>1</v>
      </c>
      <c r="H104" s="55"/>
      <c r="I104" s="55"/>
      <c r="J104" s="139">
        <v>1938</v>
      </c>
      <c r="K104" s="139" t="s">
        <v>138</v>
      </c>
      <c r="L104" s="96">
        <v>108.93</v>
      </c>
      <c r="M104" s="140">
        <f t="shared" si="2"/>
        <v>2185.821689359028</v>
      </c>
    </row>
    <row r="105" spans="1:13" ht="15" customHeight="1">
      <c r="A105" s="357"/>
      <c r="B105" s="357"/>
      <c r="C105" s="359"/>
      <c r="D105" s="138">
        <v>1</v>
      </c>
      <c r="E105" s="147"/>
      <c r="F105" s="147">
        <v>1</v>
      </c>
      <c r="G105" s="138">
        <v>1</v>
      </c>
      <c r="H105" s="55"/>
      <c r="I105" s="55"/>
      <c r="J105" s="139">
        <v>1929</v>
      </c>
      <c r="K105" s="139" t="s">
        <v>139</v>
      </c>
      <c r="L105" s="96">
        <v>70.49</v>
      </c>
      <c r="M105" s="140">
        <f t="shared" si="2"/>
        <v>1414.4732478005863</v>
      </c>
    </row>
    <row r="106" spans="1:13" ht="15" customHeight="1">
      <c r="A106" s="357"/>
      <c r="B106" s="357"/>
      <c r="C106" s="359"/>
      <c r="D106" s="138">
        <v>1</v>
      </c>
      <c r="E106" s="147">
        <v>1</v>
      </c>
      <c r="F106" s="147"/>
      <c r="G106" s="138">
        <v>1</v>
      </c>
      <c r="H106" s="55"/>
      <c r="I106" s="55"/>
      <c r="J106" s="139">
        <v>1931</v>
      </c>
      <c r="K106" s="139" t="s">
        <v>139</v>
      </c>
      <c r="L106" s="96">
        <v>4.7</v>
      </c>
      <c r="M106" s="140">
        <f t="shared" si="2"/>
        <v>94.31159405111018</v>
      </c>
    </row>
    <row r="107" spans="1:13" ht="15" customHeight="1">
      <c r="A107" s="357"/>
      <c r="B107" s="357"/>
      <c r="C107" s="359"/>
      <c r="D107" s="138">
        <v>1</v>
      </c>
      <c r="E107" s="147">
        <v>1</v>
      </c>
      <c r="F107" s="147"/>
      <c r="G107" s="138">
        <v>1</v>
      </c>
      <c r="H107" s="55"/>
      <c r="I107" s="55"/>
      <c r="J107" s="139">
        <v>1929</v>
      </c>
      <c r="K107" s="139" t="s">
        <v>139</v>
      </c>
      <c r="L107" s="96">
        <v>137.33</v>
      </c>
      <c r="M107" s="140">
        <f t="shared" si="2"/>
        <v>2755.704512987013</v>
      </c>
    </row>
    <row r="108" spans="1:13" ht="15" customHeight="1">
      <c r="A108" s="357"/>
      <c r="B108" s="357"/>
      <c r="C108" s="359"/>
      <c r="D108" s="138">
        <v>1</v>
      </c>
      <c r="E108" s="147"/>
      <c r="F108" s="147">
        <v>1</v>
      </c>
      <c r="G108" s="138">
        <v>1</v>
      </c>
      <c r="H108" s="55"/>
      <c r="I108" s="55"/>
      <c r="J108" s="139">
        <v>1923</v>
      </c>
      <c r="K108" s="139" t="s">
        <v>139</v>
      </c>
      <c r="L108" s="96">
        <v>0.95</v>
      </c>
      <c r="M108" s="140">
        <f t="shared" si="2"/>
        <v>19.062981776288225</v>
      </c>
    </row>
    <row r="109" spans="1:13" ht="15" customHeight="1">
      <c r="A109" s="357"/>
      <c r="B109" s="357"/>
      <c r="C109" s="359"/>
      <c r="D109" s="138">
        <v>1</v>
      </c>
      <c r="E109" s="147">
        <v>1</v>
      </c>
      <c r="F109" s="147"/>
      <c r="G109" s="138">
        <v>1</v>
      </c>
      <c r="H109" s="55"/>
      <c r="I109" s="55"/>
      <c r="J109" s="139">
        <v>1933</v>
      </c>
      <c r="K109" s="139" t="s">
        <v>139</v>
      </c>
      <c r="L109" s="96">
        <v>0</v>
      </c>
      <c r="M109" s="140">
        <f t="shared" si="2"/>
        <v>0</v>
      </c>
    </row>
    <row r="110" spans="1:13" ht="15" customHeight="1">
      <c r="A110" s="357"/>
      <c r="B110" s="357"/>
      <c r="C110" s="359"/>
      <c r="D110" s="138">
        <v>1</v>
      </c>
      <c r="E110" s="147">
        <v>1</v>
      </c>
      <c r="F110" s="147"/>
      <c r="G110" s="138">
        <v>1</v>
      </c>
      <c r="H110" s="55"/>
      <c r="I110" s="55"/>
      <c r="J110" s="139">
        <v>1924</v>
      </c>
      <c r="K110" s="139" t="s">
        <v>139</v>
      </c>
      <c r="L110" s="96">
        <v>15.08</v>
      </c>
      <c r="M110" s="140">
        <f t="shared" si="2"/>
        <v>302.5997528278173</v>
      </c>
    </row>
    <row r="111" spans="1:13" ht="15" customHeight="1">
      <c r="A111" s="357"/>
      <c r="B111" s="357"/>
      <c r="C111" s="359"/>
      <c r="D111" s="138">
        <v>1</v>
      </c>
      <c r="E111" s="147"/>
      <c r="F111" s="147">
        <v>1</v>
      </c>
      <c r="G111" s="138">
        <v>1</v>
      </c>
      <c r="H111" s="55"/>
      <c r="I111" s="55"/>
      <c r="J111" s="139">
        <v>1940</v>
      </c>
      <c r="K111" s="139" t="s">
        <v>139</v>
      </c>
      <c r="L111" s="96">
        <v>58.82</v>
      </c>
      <c r="M111" s="140">
        <f t="shared" si="2"/>
        <v>1180.2995664013406</v>
      </c>
    </row>
    <row r="112" spans="1:13" ht="15" customHeight="1">
      <c r="A112" s="357"/>
      <c r="B112" s="357"/>
      <c r="C112" s="359"/>
      <c r="D112" s="138">
        <v>1</v>
      </c>
      <c r="E112" s="147"/>
      <c r="F112" s="147">
        <v>1</v>
      </c>
      <c r="G112" s="138">
        <v>1</v>
      </c>
      <c r="H112" s="55"/>
      <c r="I112" s="55"/>
      <c r="J112" s="139">
        <v>1925</v>
      </c>
      <c r="K112" s="139" t="s">
        <v>139</v>
      </c>
      <c r="L112" s="96">
        <v>8</v>
      </c>
      <c r="M112" s="140">
        <f t="shared" si="2"/>
        <v>160.5303728529535</v>
      </c>
    </row>
    <row r="113" spans="1:13" ht="15" customHeight="1">
      <c r="A113" s="357"/>
      <c r="B113" s="357"/>
      <c r="C113" s="359"/>
      <c r="D113" s="138">
        <v>1</v>
      </c>
      <c r="E113" s="147"/>
      <c r="F113" s="147">
        <v>1</v>
      </c>
      <c r="G113" s="138">
        <v>1</v>
      </c>
      <c r="H113" s="55"/>
      <c r="I113" s="55"/>
      <c r="J113" s="139">
        <v>1924</v>
      </c>
      <c r="K113" s="139" t="s">
        <v>139</v>
      </c>
      <c r="L113" s="96">
        <v>24.39</v>
      </c>
      <c r="M113" s="140">
        <f t="shared" si="2"/>
        <v>489.41697423544196</v>
      </c>
    </row>
    <row r="114" spans="1:13" ht="15" customHeight="1">
      <c r="A114" s="357"/>
      <c r="B114" s="357"/>
      <c r="C114" s="359"/>
      <c r="D114" s="138">
        <v>1</v>
      </c>
      <c r="E114" s="147">
        <v>1</v>
      </c>
      <c r="F114" s="147"/>
      <c r="G114" s="138">
        <v>1</v>
      </c>
      <c r="H114" s="55"/>
      <c r="I114" s="55"/>
      <c r="J114" s="139">
        <v>1931</v>
      </c>
      <c r="K114" s="139" t="s">
        <v>139</v>
      </c>
      <c r="L114" s="96">
        <v>17.16</v>
      </c>
      <c r="M114" s="140">
        <f t="shared" si="2"/>
        <v>344.33764976958525</v>
      </c>
    </row>
    <row r="115" spans="1:13" ht="15" customHeight="1">
      <c r="A115" s="357"/>
      <c r="B115" s="357"/>
      <c r="C115" s="359"/>
      <c r="D115" s="138">
        <v>1</v>
      </c>
      <c r="E115" s="147"/>
      <c r="F115" s="147">
        <v>1</v>
      </c>
      <c r="G115" s="138">
        <v>1</v>
      </c>
      <c r="H115" s="55"/>
      <c r="I115" s="55"/>
      <c r="J115" s="139">
        <v>1943</v>
      </c>
      <c r="K115" s="139" t="s">
        <v>139</v>
      </c>
      <c r="L115" s="96">
        <v>100.03</v>
      </c>
      <c r="M115" s="140">
        <f t="shared" si="2"/>
        <v>2007.2316495601171</v>
      </c>
    </row>
    <row r="116" spans="1:13" ht="15" customHeight="1">
      <c r="A116" s="357"/>
      <c r="B116" s="357"/>
      <c r="C116" s="359"/>
      <c r="D116" s="138">
        <v>1</v>
      </c>
      <c r="E116" s="147"/>
      <c r="F116" s="147">
        <v>1</v>
      </c>
      <c r="G116" s="138">
        <v>1</v>
      </c>
      <c r="H116" s="55"/>
      <c r="I116" s="55"/>
      <c r="J116" s="139">
        <v>1926</v>
      </c>
      <c r="K116" s="139" t="s">
        <v>139</v>
      </c>
      <c r="L116" s="96">
        <v>45.75</v>
      </c>
      <c r="M116" s="140">
        <f t="shared" si="2"/>
        <v>918.0330697528278</v>
      </c>
    </row>
    <row r="117" spans="1:13" ht="15" customHeight="1">
      <c r="A117" s="357"/>
      <c r="B117" s="357"/>
      <c r="C117" s="359"/>
      <c r="D117" s="138">
        <v>1</v>
      </c>
      <c r="E117" s="147"/>
      <c r="F117" s="147">
        <v>1</v>
      </c>
      <c r="G117" s="138">
        <v>1</v>
      </c>
      <c r="H117" s="55"/>
      <c r="I117" s="55"/>
      <c r="J117" s="139">
        <v>1937</v>
      </c>
      <c r="K117" s="139" t="s">
        <v>138</v>
      </c>
      <c r="L117" s="96">
        <v>65.13</v>
      </c>
      <c r="M117" s="140">
        <f t="shared" si="2"/>
        <v>1306.9178979891076</v>
      </c>
    </row>
    <row r="118" spans="1:13" ht="15" customHeight="1">
      <c r="A118" s="357"/>
      <c r="B118" s="357"/>
      <c r="C118" s="359"/>
      <c r="D118" s="138">
        <v>1</v>
      </c>
      <c r="E118" s="147">
        <v>1</v>
      </c>
      <c r="F118" s="147"/>
      <c r="G118" s="138">
        <v>1</v>
      </c>
      <c r="H118" s="55"/>
      <c r="I118" s="55"/>
      <c r="J118" s="139">
        <v>1935</v>
      </c>
      <c r="K118" s="139" t="s">
        <v>139</v>
      </c>
      <c r="L118" s="96">
        <v>115.49</v>
      </c>
      <c r="M118" s="140">
        <f t="shared" si="2"/>
        <v>2317.4565950984497</v>
      </c>
    </row>
    <row r="119" spans="1:13" ht="15" customHeight="1">
      <c r="A119" s="357"/>
      <c r="B119" s="357"/>
      <c r="C119" s="359"/>
      <c r="D119" s="138">
        <v>1</v>
      </c>
      <c r="E119" s="147">
        <v>1</v>
      </c>
      <c r="F119" s="147"/>
      <c r="G119" s="138">
        <v>1</v>
      </c>
      <c r="H119" s="55"/>
      <c r="I119" s="55"/>
      <c r="J119" s="139">
        <v>1933</v>
      </c>
      <c r="K119" s="139" t="s">
        <v>139</v>
      </c>
      <c r="L119" s="96">
        <v>6</v>
      </c>
      <c r="M119" s="140">
        <f t="shared" si="2"/>
        <v>120.39777963971511</v>
      </c>
    </row>
    <row r="120" spans="1:13" ht="15" customHeight="1">
      <c r="A120" s="357"/>
      <c r="B120" s="357"/>
      <c r="C120" s="359"/>
      <c r="D120" s="138">
        <v>1</v>
      </c>
      <c r="E120" s="147"/>
      <c r="F120" s="147">
        <v>1</v>
      </c>
      <c r="G120" s="138">
        <v>1</v>
      </c>
      <c r="H120" s="55"/>
      <c r="I120" s="55"/>
      <c r="J120" s="139">
        <v>1931</v>
      </c>
      <c r="K120" s="139" t="s">
        <v>139</v>
      </c>
      <c r="L120" s="96">
        <v>10</v>
      </c>
      <c r="M120" s="140">
        <f t="shared" si="2"/>
        <v>200.66296606619187</v>
      </c>
    </row>
    <row r="121" spans="1:13" ht="15" customHeight="1">
      <c r="A121" s="357"/>
      <c r="B121" s="357"/>
      <c r="C121" s="359"/>
      <c r="D121" s="138">
        <v>1</v>
      </c>
      <c r="E121" s="147">
        <v>1</v>
      </c>
      <c r="F121" s="147"/>
      <c r="G121" s="138">
        <v>1</v>
      </c>
      <c r="H121" s="55"/>
      <c r="I121" s="55"/>
      <c r="J121" s="139">
        <v>1926</v>
      </c>
      <c r="K121" s="139" t="s">
        <v>139</v>
      </c>
      <c r="L121" s="96">
        <v>2.23</v>
      </c>
      <c r="M121" s="140">
        <f t="shared" si="2"/>
        <v>44.74784143276079</v>
      </c>
    </row>
    <row r="122" spans="1:13" ht="15" customHeight="1">
      <c r="A122" s="357"/>
      <c r="B122" s="357"/>
      <c r="C122" s="359"/>
      <c r="D122" s="138">
        <v>1</v>
      </c>
      <c r="E122" s="147"/>
      <c r="F122" s="147">
        <v>1</v>
      </c>
      <c r="G122" s="138">
        <v>1</v>
      </c>
      <c r="H122" s="55"/>
      <c r="I122" s="55"/>
      <c r="J122" s="139">
        <v>1930</v>
      </c>
      <c r="K122" s="139" t="s">
        <v>139</v>
      </c>
      <c r="L122" s="96">
        <v>96</v>
      </c>
      <c r="M122" s="140">
        <f t="shared" si="2"/>
        <v>1926.3644742354418</v>
      </c>
    </row>
    <row r="123" spans="1:13" ht="15" customHeight="1">
      <c r="A123" s="357"/>
      <c r="B123" s="357"/>
      <c r="C123" s="359"/>
      <c r="D123" s="138">
        <v>1</v>
      </c>
      <c r="E123" s="147"/>
      <c r="F123" s="147">
        <v>1</v>
      </c>
      <c r="G123" s="138">
        <v>1</v>
      </c>
      <c r="H123" s="55"/>
      <c r="I123" s="55"/>
      <c r="J123" s="139">
        <v>1931</v>
      </c>
      <c r="K123" s="139" t="s">
        <v>139</v>
      </c>
      <c r="L123" s="96">
        <v>0</v>
      </c>
      <c r="M123" s="140">
        <f t="shared" si="2"/>
        <v>0</v>
      </c>
    </row>
    <row r="124" spans="1:13" ht="15" customHeight="1">
      <c r="A124" s="357"/>
      <c r="B124" s="357"/>
      <c r="C124" s="359"/>
      <c r="D124" s="138">
        <v>1</v>
      </c>
      <c r="E124" s="147">
        <v>1</v>
      </c>
      <c r="F124" s="147"/>
      <c r="G124" s="138">
        <v>1</v>
      </c>
      <c r="H124" s="55"/>
      <c r="I124" s="55"/>
      <c r="J124" s="139">
        <v>1920</v>
      </c>
      <c r="K124" s="139" t="s">
        <v>139</v>
      </c>
      <c r="L124" s="96">
        <f>103.06-20</f>
        <v>83.06</v>
      </c>
      <c r="M124" s="140">
        <f t="shared" si="2"/>
        <v>1666.7065961457897</v>
      </c>
    </row>
    <row r="125" spans="1:13" ht="15" customHeight="1">
      <c r="A125" s="357"/>
      <c r="B125" s="357"/>
      <c r="C125" s="359"/>
      <c r="D125" s="138">
        <v>1</v>
      </c>
      <c r="E125" s="147"/>
      <c r="F125" s="147">
        <v>1</v>
      </c>
      <c r="G125" s="138">
        <v>1</v>
      </c>
      <c r="H125" s="55"/>
      <c r="I125" s="55"/>
      <c r="J125" s="139">
        <v>1929</v>
      </c>
      <c r="K125" s="139" t="s">
        <v>139</v>
      </c>
      <c r="L125" s="96">
        <v>62.17</v>
      </c>
      <c r="M125" s="140">
        <f t="shared" si="2"/>
        <v>1247.5216600335148</v>
      </c>
    </row>
    <row r="126" spans="1:13" ht="15" customHeight="1">
      <c r="A126" s="357"/>
      <c r="B126" s="357"/>
      <c r="C126" s="359"/>
      <c r="D126" s="138">
        <v>1</v>
      </c>
      <c r="E126" s="147"/>
      <c r="F126" s="147">
        <v>1</v>
      </c>
      <c r="G126" s="138">
        <v>1</v>
      </c>
      <c r="H126" s="55"/>
      <c r="I126" s="55"/>
      <c r="J126" s="139">
        <v>1928</v>
      </c>
      <c r="K126" s="139" t="s">
        <v>139</v>
      </c>
      <c r="L126" s="96">
        <v>42.67</v>
      </c>
      <c r="M126" s="140">
        <f t="shared" si="2"/>
        <v>856.2288762044407</v>
      </c>
    </row>
    <row r="127" spans="1:13" ht="15" customHeight="1">
      <c r="A127" s="357"/>
      <c r="B127" s="357"/>
      <c r="C127" s="359"/>
      <c r="D127" s="138">
        <v>1</v>
      </c>
      <c r="E127" s="147">
        <v>1</v>
      </c>
      <c r="F127" s="147"/>
      <c r="G127" s="138">
        <v>1</v>
      </c>
      <c r="H127" s="55"/>
      <c r="I127" s="55"/>
      <c r="J127" s="139">
        <v>1935</v>
      </c>
      <c r="K127" s="139" t="s">
        <v>139</v>
      </c>
      <c r="L127" s="96">
        <v>1.9</v>
      </c>
      <c r="M127" s="140">
        <f t="shared" si="2"/>
        <v>38.12596355257645</v>
      </c>
    </row>
    <row r="128" spans="1:13" ht="15" customHeight="1">
      <c r="A128" s="357"/>
      <c r="B128" s="357"/>
      <c r="C128" s="359"/>
      <c r="D128" s="138">
        <v>1</v>
      </c>
      <c r="E128" s="147">
        <v>1</v>
      </c>
      <c r="F128" s="147"/>
      <c r="G128" s="138">
        <v>1</v>
      </c>
      <c r="H128" s="55"/>
      <c r="I128" s="55"/>
      <c r="J128" s="139">
        <v>1942</v>
      </c>
      <c r="K128" s="139" t="s">
        <v>139</v>
      </c>
      <c r="L128" s="96">
        <f>654.54-50</f>
        <v>604.54</v>
      </c>
      <c r="M128" s="140">
        <f t="shared" si="2"/>
        <v>12130.878950565562</v>
      </c>
    </row>
    <row r="129" spans="1:13" ht="15" customHeight="1">
      <c r="A129" s="357"/>
      <c r="B129" s="357"/>
      <c r="C129" s="359"/>
      <c r="D129" s="138">
        <v>1</v>
      </c>
      <c r="E129" s="147"/>
      <c r="F129" s="147">
        <v>1</v>
      </c>
      <c r="G129" s="138">
        <v>1</v>
      </c>
      <c r="H129" s="55"/>
      <c r="I129" s="55"/>
      <c r="J129" s="139">
        <v>1925</v>
      </c>
      <c r="K129" s="139" t="s">
        <v>139</v>
      </c>
      <c r="L129" s="96">
        <v>177.04</v>
      </c>
      <c r="M129" s="140">
        <f t="shared" si="2"/>
        <v>3552.5371512358606</v>
      </c>
    </row>
    <row r="130" spans="1:13" ht="15" customHeight="1">
      <c r="A130" s="357"/>
      <c r="B130" s="357"/>
      <c r="C130" s="359"/>
      <c r="D130" s="138">
        <v>1</v>
      </c>
      <c r="E130" s="147">
        <v>1</v>
      </c>
      <c r="F130" s="147"/>
      <c r="G130" s="138">
        <v>1</v>
      </c>
      <c r="H130" s="55"/>
      <c r="I130" s="55"/>
      <c r="J130" s="139">
        <v>1923</v>
      </c>
      <c r="K130" s="139" t="s">
        <v>139</v>
      </c>
      <c r="L130" s="96">
        <v>17.1</v>
      </c>
      <c r="M130" s="140">
        <f t="shared" si="2"/>
        <v>343.13367197318814</v>
      </c>
    </row>
    <row r="131" spans="1:13" ht="15" customHeight="1">
      <c r="A131" s="357"/>
      <c r="B131" s="357"/>
      <c r="C131" s="359"/>
      <c r="D131" s="138">
        <v>1</v>
      </c>
      <c r="E131" s="147"/>
      <c r="F131" s="147">
        <v>1</v>
      </c>
      <c r="G131" s="138">
        <v>1</v>
      </c>
      <c r="H131" s="55"/>
      <c r="I131" s="55"/>
      <c r="J131" s="139">
        <v>1934</v>
      </c>
      <c r="K131" s="139" t="s">
        <v>139</v>
      </c>
      <c r="L131" s="96">
        <v>53.98</v>
      </c>
      <c r="M131" s="140">
        <f t="shared" si="2"/>
        <v>1083.1786908253036</v>
      </c>
    </row>
    <row r="132" spans="1:13" ht="15" customHeight="1">
      <c r="A132" s="357"/>
      <c r="B132" s="357"/>
      <c r="C132" s="359"/>
      <c r="D132" s="138">
        <v>1</v>
      </c>
      <c r="E132" s="147"/>
      <c r="F132" s="147">
        <v>1</v>
      </c>
      <c r="G132" s="138">
        <v>1</v>
      </c>
      <c r="H132" s="55"/>
      <c r="I132" s="55"/>
      <c r="J132" s="139">
        <v>1935</v>
      </c>
      <c r="K132" s="139" t="s">
        <v>139</v>
      </c>
      <c r="L132" s="96">
        <v>0.95</v>
      </c>
      <c r="M132" s="140">
        <f t="shared" si="2"/>
        <v>19.062981776288225</v>
      </c>
    </row>
    <row r="133" spans="1:13" ht="15" customHeight="1">
      <c r="A133" s="357"/>
      <c r="B133" s="357"/>
      <c r="C133" s="359"/>
      <c r="D133" s="138">
        <v>1</v>
      </c>
      <c r="E133" s="147"/>
      <c r="F133" s="147">
        <v>1</v>
      </c>
      <c r="G133" s="138">
        <v>1</v>
      </c>
      <c r="H133" s="55"/>
      <c r="I133" s="55"/>
      <c r="J133" s="139">
        <v>1916</v>
      </c>
      <c r="K133" s="139" t="s">
        <v>139</v>
      </c>
      <c r="L133" s="96">
        <v>17.11</v>
      </c>
      <c r="M133" s="140">
        <f t="shared" si="2"/>
        <v>343.3343349392543</v>
      </c>
    </row>
    <row r="134" spans="1:13" ht="15" customHeight="1">
      <c r="A134" s="357"/>
      <c r="B134" s="357"/>
      <c r="C134" s="359"/>
      <c r="D134" s="138">
        <v>1</v>
      </c>
      <c r="E134" s="147"/>
      <c r="F134" s="147">
        <v>1</v>
      </c>
      <c r="G134" s="138">
        <v>1</v>
      </c>
      <c r="H134" s="55"/>
      <c r="I134" s="55"/>
      <c r="J134" s="139">
        <v>1929</v>
      </c>
      <c r="K134" s="139" t="s">
        <v>139</v>
      </c>
      <c r="L134" s="96">
        <v>7.6</v>
      </c>
      <c r="M134" s="140">
        <f t="shared" si="2"/>
        <v>152.5038542103058</v>
      </c>
    </row>
    <row r="135" spans="1:13" ht="15" customHeight="1">
      <c r="A135" s="357"/>
      <c r="B135" s="357"/>
      <c r="C135" s="359"/>
      <c r="D135" s="138">
        <v>1</v>
      </c>
      <c r="E135" s="147"/>
      <c r="F135" s="147">
        <v>1</v>
      </c>
      <c r="G135" s="138">
        <v>1</v>
      </c>
      <c r="H135" s="55"/>
      <c r="I135" s="55"/>
      <c r="J135" s="139">
        <v>1925</v>
      </c>
      <c r="K135" s="139" t="s">
        <v>138</v>
      </c>
      <c r="L135" s="96">
        <v>4.81</v>
      </c>
      <c r="M135" s="140">
        <f t="shared" si="2"/>
        <v>96.51888667783828</v>
      </c>
    </row>
    <row r="136" spans="1:13" ht="15" customHeight="1">
      <c r="A136" s="357"/>
      <c r="B136" s="357"/>
      <c r="C136" s="359"/>
      <c r="D136" s="138">
        <v>1</v>
      </c>
      <c r="E136" s="147">
        <v>1</v>
      </c>
      <c r="F136" s="147"/>
      <c r="G136" s="138">
        <v>1</v>
      </c>
      <c r="H136" s="55"/>
      <c r="I136" s="55"/>
      <c r="J136" s="139">
        <v>1923</v>
      </c>
      <c r="K136" s="139" t="s">
        <v>139</v>
      </c>
      <c r="L136" s="96">
        <v>39.9</v>
      </c>
      <c r="M136" s="140">
        <f t="shared" si="2"/>
        <v>800.6452346041056</v>
      </c>
    </row>
    <row r="137" spans="1:13" ht="15" customHeight="1">
      <c r="A137" s="357"/>
      <c r="B137" s="357"/>
      <c r="C137" s="359"/>
      <c r="D137" s="138">
        <v>1</v>
      </c>
      <c r="E137" s="147">
        <v>1</v>
      </c>
      <c r="F137" s="147"/>
      <c r="G137" s="138">
        <v>1</v>
      </c>
      <c r="H137" s="55"/>
      <c r="I137" s="55"/>
      <c r="J137" s="139">
        <v>1936</v>
      </c>
      <c r="K137" s="139" t="s">
        <v>139</v>
      </c>
      <c r="L137" s="96">
        <v>56.23</v>
      </c>
      <c r="M137" s="140">
        <f t="shared" si="2"/>
        <v>1128.3278581901968</v>
      </c>
    </row>
    <row r="138" spans="1:13" ht="15" customHeight="1">
      <c r="A138" s="357"/>
      <c r="B138" s="357"/>
      <c r="C138" s="359"/>
      <c r="D138" s="138">
        <v>1</v>
      </c>
      <c r="E138" s="147"/>
      <c r="F138" s="147">
        <v>1</v>
      </c>
      <c r="G138" s="138">
        <v>1</v>
      </c>
      <c r="H138" s="55"/>
      <c r="I138" s="55"/>
      <c r="J138" s="139">
        <v>1916</v>
      </c>
      <c r="K138" s="139" t="s">
        <v>139</v>
      </c>
      <c r="L138" s="96">
        <v>77</v>
      </c>
      <c r="M138" s="140">
        <f t="shared" si="2"/>
        <v>1545.1048387096773</v>
      </c>
    </row>
    <row r="139" spans="1:13" ht="15" customHeight="1">
      <c r="A139" s="357"/>
      <c r="B139" s="357"/>
      <c r="C139" s="359"/>
      <c r="D139" s="138">
        <v>1</v>
      </c>
      <c r="E139" s="147">
        <v>1</v>
      </c>
      <c r="F139" s="147"/>
      <c r="G139" s="138">
        <v>1</v>
      </c>
      <c r="H139" s="55"/>
      <c r="I139" s="55"/>
      <c r="J139" s="139">
        <v>1939</v>
      </c>
      <c r="K139" s="139" t="s">
        <v>139</v>
      </c>
      <c r="L139" s="96">
        <v>95.01</v>
      </c>
      <c r="M139" s="140">
        <f t="shared" si="2"/>
        <v>1906.498840594889</v>
      </c>
    </row>
    <row r="140" spans="1:13" ht="15" customHeight="1">
      <c r="A140" s="357"/>
      <c r="B140" s="357"/>
      <c r="C140" s="359"/>
      <c r="D140" s="138">
        <v>1</v>
      </c>
      <c r="E140" s="147"/>
      <c r="F140" s="147">
        <v>1</v>
      </c>
      <c r="G140" s="138">
        <v>1</v>
      </c>
      <c r="H140" s="55"/>
      <c r="I140" s="55"/>
      <c r="J140" s="139">
        <v>1914</v>
      </c>
      <c r="K140" s="139" t="s">
        <v>139</v>
      </c>
      <c r="L140" s="96">
        <v>6.93</v>
      </c>
      <c r="M140" s="140">
        <f t="shared" si="2"/>
        <v>139.05943548387094</v>
      </c>
    </row>
    <row r="141" spans="1:13" ht="15" customHeight="1">
      <c r="A141" s="357"/>
      <c r="B141" s="357"/>
      <c r="C141" s="359"/>
      <c r="D141" s="138">
        <v>1</v>
      </c>
      <c r="E141" s="147"/>
      <c r="F141" s="147">
        <v>1</v>
      </c>
      <c r="G141" s="138">
        <v>1</v>
      </c>
      <c r="H141" s="55"/>
      <c r="I141" s="55"/>
      <c r="J141" s="139">
        <v>1935</v>
      </c>
      <c r="K141" s="139" t="s">
        <v>139</v>
      </c>
      <c r="L141" s="96">
        <v>54.65</v>
      </c>
      <c r="M141" s="140">
        <f t="shared" si="2"/>
        <v>1096.6231095517385</v>
      </c>
    </row>
    <row r="142" spans="1:13" ht="15" customHeight="1">
      <c r="A142" s="357"/>
      <c r="B142" s="357"/>
      <c r="C142" s="359"/>
      <c r="D142" s="138">
        <v>1</v>
      </c>
      <c r="E142" s="147"/>
      <c r="F142" s="147">
        <v>1</v>
      </c>
      <c r="G142" s="138">
        <v>1</v>
      </c>
      <c r="H142" s="55"/>
      <c r="I142" s="55"/>
      <c r="J142" s="139">
        <v>1931</v>
      </c>
      <c r="K142" s="139" t="s">
        <v>138</v>
      </c>
      <c r="L142" s="96">
        <v>1.9</v>
      </c>
      <c r="M142" s="140">
        <f t="shared" si="2"/>
        <v>38.12596355257645</v>
      </c>
    </row>
    <row r="143" spans="1:13" ht="15" customHeight="1">
      <c r="A143" s="357"/>
      <c r="B143" s="357"/>
      <c r="C143" s="359"/>
      <c r="D143" s="138">
        <v>1</v>
      </c>
      <c r="E143" s="147"/>
      <c r="F143" s="147">
        <v>1</v>
      </c>
      <c r="G143" s="138">
        <v>1</v>
      </c>
      <c r="H143" s="55"/>
      <c r="I143" s="55"/>
      <c r="J143" s="139">
        <v>1931</v>
      </c>
      <c r="K143" s="139" t="s">
        <v>139</v>
      </c>
      <c r="L143" s="96">
        <v>26.12</v>
      </c>
      <c r="M143" s="140">
        <f t="shared" si="2"/>
        <v>524.1316673648931</v>
      </c>
    </row>
    <row r="144" spans="1:13" ht="15" customHeight="1">
      <c r="A144" s="357"/>
      <c r="B144" s="357"/>
      <c r="C144" s="359"/>
      <c r="D144" s="138">
        <v>1</v>
      </c>
      <c r="E144" s="147"/>
      <c r="F144" s="147">
        <v>1</v>
      </c>
      <c r="G144" s="138">
        <v>1</v>
      </c>
      <c r="H144" s="55"/>
      <c r="I144" s="55"/>
      <c r="J144" s="139">
        <v>1945</v>
      </c>
      <c r="K144" s="139" t="s">
        <v>139</v>
      </c>
      <c r="L144" s="96">
        <v>1.73</v>
      </c>
      <c r="M144" s="140">
        <f t="shared" si="2"/>
        <v>34.71469312945119</v>
      </c>
    </row>
    <row r="145" spans="1:13" ht="15" customHeight="1">
      <c r="A145" s="357"/>
      <c r="B145" s="357"/>
      <c r="C145" s="359"/>
      <c r="D145" s="138">
        <v>1</v>
      </c>
      <c r="E145" s="147"/>
      <c r="F145" s="147">
        <v>1</v>
      </c>
      <c r="G145" s="138">
        <v>1</v>
      </c>
      <c r="H145" s="55"/>
      <c r="I145" s="55"/>
      <c r="J145" s="139">
        <v>1942</v>
      </c>
      <c r="K145" s="139" t="s">
        <v>138</v>
      </c>
      <c r="L145" s="96">
        <v>20.85</v>
      </c>
      <c r="M145" s="140">
        <f t="shared" si="2"/>
        <v>418.3822842480101</v>
      </c>
    </row>
    <row r="146" spans="1:13" ht="15" customHeight="1">
      <c r="A146" s="357"/>
      <c r="B146" s="357"/>
      <c r="C146" s="359"/>
      <c r="D146" s="138">
        <v>1</v>
      </c>
      <c r="E146" s="147"/>
      <c r="F146" s="147">
        <v>1</v>
      </c>
      <c r="G146" s="138">
        <v>1</v>
      </c>
      <c r="H146" s="55"/>
      <c r="I146" s="55"/>
      <c r="J146" s="139">
        <v>1930</v>
      </c>
      <c r="K146" s="139" t="s">
        <v>139</v>
      </c>
      <c r="L146" s="96">
        <v>2</v>
      </c>
      <c r="M146" s="140">
        <f t="shared" si="2"/>
        <v>40.13259321323837</v>
      </c>
    </row>
    <row r="147" spans="1:13" ht="15" customHeight="1">
      <c r="A147" s="357"/>
      <c r="B147" s="357"/>
      <c r="C147" s="359"/>
      <c r="D147" s="138">
        <v>1</v>
      </c>
      <c r="E147" s="147">
        <v>1</v>
      </c>
      <c r="F147" s="147"/>
      <c r="G147" s="138">
        <v>1</v>
      </c>
      <c r="H147" s="55"/>
      <c r="I147" s="55"/>
      <c r="J147" s="139">
        <v>1927</v>
      </c>
      <c r="K147" s="139" t="s">
        <v>139</v>
      </c>
      <c r="L147" s="96">
        <v>1</v>
      </c>
      <c r="M147" s="140">
        <f t="shared" si="2"/>
        <v>20.066296606619186</v>
      </c>
    </row>
    <row r="148" spans="1:13" ht="15" customHeight="1">
      <c r="A148" s="357"/>
      <c r="B148" s="357"/>
      <c r="C148" s="359"/>
      <c r="D148" s="138">
        <v>1</v>
      </c>
      <c r="E148" s="147"/>
      <c r="F148" s="147">
        <v>1</v>
      </c>
      <c r="G148" s="138">
        <v>1</v>
      </c>
      <c r="H148" s="55"/>
      <c r="I148" s="55"/>
      <c r="J148" s="139">
        <v>1928</v>
      </c>
      <c r="K148" s="139" t="s">
        <v>139</v>
      </c>
      <c r="L148" s="96">
        <v>71.64</v>
      </c>
      <c r="M148" s="140">
        <f t="shared" si="2"/>
        <v>1437.5494888981984</v>
      </c>
    </row>
    <row r="149" spans="1:13" ht="15" customHeight="1">
      <c r="A149" s="357"/>
      <c r="B149" s="357"/>
      <c r="C149" s="359"/>
      <c r="D149" s="138">
        <v>1</v>
      </c>
      <c r="E149" s="147"/>
      <c r="F149" s="147">
        <v>1</v>
      </c>
      <c r="G149" s="138">
        <v>1</v>
      </c>
      <c r="H149" s="55"/>
      <c r="I149" s="55"/>
      <c r="J149" s="139">
        <v>1923</v>
      </c>
      <c r="K149" s="139" t="s">
        <v>139</v>
      </c>
      <c r="L149" s="96">
        <v>0</v>
      </c>
      <c r="M149" s="140">
        <f t="shared" si="2"/>
        <v>0</v>
      </c>
    </row>
    <row r="150" spans="1:13" ht="15" customHeight="1">
      <c r="A150" s="357"/>
      <c r="B150" s="357"/>
      <c r="C150" s="359"/>
      <c r="D150" s="138">
        <v>1</v>
      </c>
      <c r="E150" s="147">
        <v>1</v>
      </c>
      <c r="F150" s="147"/>
      <c r="G150" s="138">
        <v>1</v>
      </c>
      <c r="H150" s="55"/>
      <c r="I150" s="55"/>
      <c r="J150" s="139">
        <v>1938</v>
      </c>
      <c r="K150" s="139" t="s">
        <v>139</v>
      </c>
      <c r="L150" s="96">
        <v>89.64</v>
      </c>
      <c r="M150" s="140">
        <f t="shared" si="2"/>
        <v>1798.7428278173438</v>
      </c>
    </row>
    <row r="151" spans="1:13" ht="15" customHeight="1">
      <c r="A151" s="357"/>
      <c r="B151" s="357"/>
      <c r="C151" s="359"/>
      <c r="D151" s="138">
        <v>1</v>
      </c>
      <c r="E151" s="147"/>
      <c r="F151" s="147">
        <v>1</v>
      </c>
      <c r="G151" s="138">
        <v>1</v>
      </c>
      <c r="H151" s="55"/>
      <c r="I151" s="55"/>
      <c r="J151" s="139">
        <v>1936</v>
      </c>
      <c r="K151" s="139" t="s">
        <v>139</v>
      </c>
      <c r="L151" s="96">
        <v>137.75</v>
      </c>
      <c r="M151" s="140">
        <f t="shared" si="2"/>
        <v>2764.132357561793</v>
      </c>
    </row>
    <row r="152" spans="1:13" ht="15" customHeight="1">
      <c r="A152" s="357"/>
      <c r="B152" s="357"/>
      <c r="C152" s="359"/>
      <c r="D152" s="138">
        <v>1</v>
      </c>
      <c r="E152" s="147"/>
      <c r="F152" s="147">
        <v>1</v>
      </c>
      <c r="G152" s="138">
        <v>1</v>
      </c>
      <c r="H152" s="55"/>
      <c r="I152" s="55"/>
      <c r="J152" s="139">
        <v>1927</v>
      </c>
      <c r="K152" s="139" t="s">
        <v>138</v>
      </c>
      <c r="L152" s="96">
        <v>9.5</v>
      </c>
      <c r="M152" s="140">
        <f t="shared" si="2"/>
        <v>190.62981776288228</v>
      </c>
    </row>
    <row r="153" spans="1:13" ht="15" customHeight="1">
      <c r="A153" s="357"/>
      <c r="B153" s="357"/>
      <c r="C153" s="359"/>
      <c r="D153" s="138">
        <v>1</v>
      </c>
      <c r="E153" s="147"/>
      <c r="F153" s="147">
        <v>1</v>
      </c>
      <c r="G153" s="138">
        <v>1</v>
      </c>
      <c r="H153" s="55"/>
      <c r="I153" s="55"/>
      <c r="J153" s="139">
        <v>1927</v>
      </c>
      <c r="K153" s="139" t="s">
        <v>139</v>
      </c>
      <c r="L153" s="96">
        <v>68.52</v>
      </c>
      <c r="M153" s="140">
        <f t="shared" si="2"/>
        <v>1374.9426434855466</v>
      </c>
    </row>
    <row r="154" spans="1:13" ht="15" customHeight="1">
      <c r="A154" s="357"/>
      <c r="B154" s="357"/>
      <c r="C154" s="359"/>
      <c r="D154" s="138">
        <v>1</v>
      </c>
      <c r="E154" s="147"/>
      <c r="F154" s="147">
        <v>1</v>
      </c>
      <c r="G154" s="138">
        <v>1</v>
      </c>
      <c r="H154" s="55"/>
      <c r="I154" s="55"/>
      <c r="J154" s="97">
        <v>1933</v>
      </c>
      <c r="K154" s="139" t="s">
        <v>139</v>
      </c>
      <c r="L154" s="96">
        <v>1.9</v>
      </c>
      <c r="M154" s="140">
        <f t="shared" si="2"/>
        <v>38.12596355257645</v>
      </c>
    </row>
    <row r="155" spans="1:13" ht="15" customHeight="1">
      <c r="A155" s="357"/>
      <c r="B155" s="357"/>
      <c r="C155" s="359"/>
      <c r="D155" s="138">
        <v>1</v>
      </c>
      <c r="E155" s="147">
        <v>1</v>
      </c>
      <c r="F155" s="147"/>
      <c r="G155" s="138">
        <v>1</v>
      </c>
      <c r="H155" s="55"/>
      <c r="I155" s="55"/>
      <c r="J155" s="139">
        <v>1937</v>
      </c>
      <c r="K155" s="139" t="s">
        <v>139</v>
      </c>
      <c r="L155" s="96">
        <v>2</v>
      </c>
      <c r="M155" s="140">
        <f t="shared" si="2"/>
        <v>40.13259321323837</v>
      </c>
    </row>
    <row r="156" spans="1:13" ht="15" customHeight="1">
      <c r="A156" s="357"/>
      <c r="B156" s="357"/>
      <c r="C156" s="359"/>
      <c r="D156" s="138">
        <v>1</v>
      </c>
      <c r="E156" s="147">
        <v>1</v>
      </c>
      <c r="F156" s="147"/>
      <c r="G156" s="138">
        <v>1</v>
      </c>
      <c r="H156" s="55"/>
      <c r="I156" s="55"/>
      <c r="J156" s="139">
        <v>1928</v>
      </c>
      <c r="K156" s="139" t="s">
        <v>139</v>
      </c>
      <c r="L156" s="96">
        <v>7</v>
      </c>
      <c r="M156" s="140">
        <f t="shared" si="2"/>
        <v>140.46407624633432</v>
      </c>
    </row>
    <row r="157" spans="1:13" ht="15" customHeight="1">
      <c r="A157" s="357"/>
      <c r="B157" s="357"/>
      <c r="C157" s="359"/>
      <c r="D157" s="138">
        <v>1</v>
      </c>
      <c r="E157" s="147"/>
      <c r="F157" s="147">
        <v>1</v>
      </c>
      <c r="G157" s="138">
        <v>1</v>
      </c>
      <c r="H157" s="55"/>
      <c r="I157" s="55"/>
      <c r="J157" s="139">
        <v>1931</v>
      </c>
      <c r="K157" s="139" t="s">
        <v>139</v>
      </c>
      <c r="L157" s="96">
        <v>62.16</v>
      </c>
      <c r="M157" s="140">
        <f t="shared" si="2"/>
        <v>1247.3209970674486</v>
      </c>
    </row>
    <row r="158" spans="1:13" ht="15" customHeight="1">
      <c r="A158" s="357"/>
      <c r="B158" s="357"/>
      <c r="C158" s="359"/>
      <c r="D158" s="138">
        <v>1</v>
      </c>
      <c r="E158" s="147">
        <v>1</v>
      </c>
      <c r="F158" s="147"/>
      <c r="G158" s="138">
        <v>1</v>
      </c>
      <c r="H158" s="55"/>
      <c r="I158" s="55"/>
      <c r="J158" s="139">
        <v>1940</v>
      </c>
      <c r="K158" s="139" t="s">
        <v>139</v>
      </c>
      <c r="L158" s="96">
        <v>5.7</v>
      </c>
      <c r="M158" s="140">
        <f t="shared" si="2"/>
        <v>114.37789065772937</v>
      </c>
    </row>
    <row r="159" spans="1:13" ht="15" customHeight="1">
      <c r="A159" s="357"/>
      <c r="B159" s="357"/>
      <c r="C159" s="359"/>
      <c r="D159" s="138">
        <v>1</v>
      </c>
      <c r="E159" s="147"/>
      <c r="F159" s="147">
        <v>1</v>
      </c>
      <c r="G159" s="138">
        <v>1</v>
      </c>
      <c r="H159" s="55"/>
      <c r="I159" s="55"/>
      <c r="J159" s="139">
        <v>1941</v>
      </c>
      <c r="K159" s="139" t="s">
        <v>139</v>
      </c>
      <c r="L159" s="96">
        <v>19</v>
      </c>
      <c r="M159" s="140">
        <f t="shared" si="2"/>
        <v>381.25963552576457</v>
      </c>
    </row>
    <row r="160" spans="1:13" ht="15" customHeight="1">
      <c r="A160" s="357"/>
      <c r="B160" s="357"/>
      <c r="C160" s="359"/>
      <c r="D160" s="138">
        <v>1</v>
      </c>
      <c r="E160" s="147"/>
      <c r="F160" s="147">
        <v>1</v>
      </c>
      <c r="G160" s="138">
        <v>1</v>
      </c>
      <c r="H160" s="55"/>
      <c r="I160" s="55"/>
      <c r="J160" s="139">
        <v>1925</v>
      </c>
      <c r="K160" s="139" t="s">
        <v>139</v>
      </c>
      <c r="L160" s="96">
        <v>1.73</v>
      </c>
      <c r="M160" s="140">
        <f t="shared" si="2"/>
        <v>34.71469312945119</v>
      </c>
    </row>
    <row r="161" spans="1:13" ht="15" customHeight="1">
      <c r="A161" s="357"/>
      <c r="B161" s="357"/>
      <c r="C161" s="359"/>
      <c r="D161" s="138">
        <v>1</v>
      </c>
      <c r="E161" s="147"/>
      <c r="F161" s="147">
        <v>1</v>
      </c>
      <c r="G161" s="138">
        <v>1</v>
      </c>
      <c r="H161" s="55"/>
      <c r="I161" s="55"/>
      <c r="J161" s="139">
        <v>1931</v>
      </c>
      <c r="K161" s="139" t="s">
        <v>139</v>
      </c>
      <c r="L161" s="96">
        <v>6</v>
      </c>
      <c r="M161" s="140">
        <f t="shared" si="2"/>
        <v>120.39777963971511</v>
      </c>
    </row>
    <row r="162" spans="1:13" ht="15" customHeight="1">
      <c r="A162" s="357"/>
      <c r="B162" s="357"/>
      <c r="C162" s="359"/>
      <c r="D162" s="138">
        <v>1</v>
      </c>
      <c r="E162" s="147">
        <v>1</v>
      </c>
      <c r="F162" s="147"/>
      <c r="G162" s="138">
        <v>1</v>
      </c>
      <c r="H162" s="55"/>
      <c r="I162" s="55"/>
      <c r="J162" s="139">
        <v>1928</v>
      </c>
      <c r="K162" s="139" t="s">
        <v>139</v>
      </c>
      <c r="L162" s="96">
        <v>3.56</v>
      </c>
      <c r="M162" s="140">
        <f t="shared" si="2"/>
        <v>71.4360159195643</v>
      </c>
    </row>
    <row r="163" spans="1:13" ht="15" customHeight="1">
      <c r="A163" s="357"/>
      <c r="B163" s="357"/>
      <c r="C163" s="359"/>
      <c r="D163" s="138">
        <v>1</v>
      </c>
      <c r="E163" s="147"/>
      <c r="F163" s="147">
        <v>1</v>
      </c>
      <c r="G163" s="138"/>
      <c r="H163" s="147">
        <v>1</v>
      </c>
      <c r="I163" s="147" t="s">
        <v>4</v>
      </c>
      <c r="J163" s="139">
        <v>1931</v>
      </c>
      <c r="K163" s="139" t="s">
        <v>139</v>
      </c>
      <c r="L163" s="96">
        <f>183.32-20</f>
        <v>163.32</v>
      </c>
      <c r="M163" s="140">
        <f t="shared" si="2"/>
        <v>3277.2275617930454</v>
      </c>
    </row>
    <row r="164" spans="1:13" ht="15" customHeight="1">
      <c r="A164" s="357"/>
      <c r="B164" s="357"/>
      <c r="C164" s="359"/>
      <c r="D164" s="138">
        <v>1</v>
      </c>
      <c r="E164" s="147">
        <v>1</v>
      </c>
      <c r="F164" s="147"/>
      <c r="G164" s="138">
        <v>1</v>
      </c>
      <c r="H164" s="55"/>
      <c r="I164" s="55"/>
      <c r="J164" s="139">
        <v>1927</v>
      </c>
      <c r="K164" s="139" t="s">
        <v>139</v>
      </c>
      <c r="L164" s="96">
        <v>42.03</v>
      </c>
      <c r="M164" s="140">
        <f aca="true" t="shared" si="3" ref="M164:M194">191593/9548*L164</f>
        <v>843.3864463762044</v>
      </c>
    </row>
    <row r="165" spans="1:13" ht="15" customHeight="1">
      <c r="A165" s="357"/>
      <c r="B165" s="357"/>
      <c r="C165" s="359"/>
      <c r="D165" s="138">
        <v>1</v>
      </c>
      <c r="E165" s="147"/>
      <c r="F165" s="147">
        <v>1</v>
      </c>
      <c r="G165" s="138">
        <v>1</v>
      </c>
      <c r="H165" s="55"/>
      <c r="I165" s="55"/>
      <c r="J165" s="139">
        <v>1939</v>
      </c>
      <c r="K165" s="139" t="s">
        <v>139</v>
      </c>
      <c r="L165" s="96">
        <v>38.95</v>
      </c>
      <c r="M165" s="140">
        <f t="shared" si="3"/>
        <v>781.5822528278173</v>
      </c>
    </row>
    <row r="166" spans="1:13" ht="15" customHeight="1">
      <c r="A166" s="357"/>
      <c r="B166" s="357"/>
      <c r="C166" s="359"/>
      <c r="D166" s="138">
        <v>1</v>
      </c>
      <c r="E166" s="147"/>
      <c r="F166" s="147">
        <v>1</v>
      </c>
      <c r="G166" s="138">
        <v>1</v>
      </c>
      <c r="H166" s="55"/>
      <c r="I166" s="55"/>
      <c r="J166" s="139">
        <v>1936</v>
      </c>
      <c r="K166" s="139" t="s">
        <v>139</v>
      </c>
      <c r="L166" s="96">
        <v>2</v>
      </c>
      <c r="M166" s="140">
        <f t="shared" si="3"/>
        <v>40.13259321323837</v>
      </c>
    </row>
    <row r="167" spans="1:13" ht="15" customHeight="1">
      <c r="A167" s="357"/>
      <c r="B167" s="357"/>
      <c r="C167" s="359"/>
      <c r="D167" s="138">
        <v>1</v>
      </c>
      <c r="E167" s="147">
        <v>1</v>
      </c>
      <c r="F167" s="147"/>
      <c r="G167" s="138">
        <v>1</v>
      </c>
      <c r="H167" s="55"/>
      <c r="I167" s="55"/>
      <c r="J167" s="139">
        <v>1933</v>
      </c>
      <c r="K167" s="139" t="s">
        <v>139</v>
      </c>
      <c r="L167" s="96">
        <v>16.77</v>
      </c>
      <c r="M167" s="140">
        <f t="shared" si="3"/>
        <v>336.51179409300374</v>
      </c>
    </row>
    <row r="168" spans="1:13" ht="15" customHeight="1">
      <c r="A168" s="357"/>
      <c r="B168" s="357"/>
      <c r="C168" s="359"/>
      <c r="D168" s="138">
        <v>1</v>
      </c>
      <c r="E168" s="147"/>
      <c r="F168" s="147">
        <v>1</v>
      </c>
      <c r="G168" s="138">
        <v>1</v>
      </c>
      <c r="H168" s="55"/>
      <c r="I168" s="55"/>
      <c r="J168" s="139">
        <v>1926</v>
      </c>
      <c r="K168" s="139" t="s">
        <v>139</v>
      </c>
      <c r="L168" s="96">
        <v>18.83</v>
      </c>
      <c r="M168" s="140">
        <f t="shared" si="3"/>
        <v>377.84836510263926</v>
      </c>
    </row>
    <row r="169" spans="1:13" ht="15" customHeight="1">
      <c r="A169" s="357"/>
      <c r="B169" s="357"/>
      <c r="C169" s="359"/>
      <c r="D169" s="138">
        <v>1</v>
      </c>
      <c r="E169" s="147"/>
      <c r="F169" s="147">
        <v>1</v>
      </c>
      <c r="G169" s="138">
        <v>1</v>
      </c>
      <c r="H169" s="55"/>
      <c r="I169" s="55"/>
      <c r="J169" s="139">
        <v>1920</v>
      </c>
      <c r="K169" s="139" t="s">
        <v>139</v>
      </c>
      <c r="L169" s="96">
        <v>2.85</v>
      </c>
      <c r="M169" s="140">
        <f t="shared" si="3"/>
        <v>57.18894532886468</v>
      </c>
    </row>
    <row r="170" spans="1:13" ht="15" customHeight="1">
      <c r="A170" s="357"/>
      <c r="B170" s="357"/>
      <c r="C170" s="359"/>
      <c r="D170" s="138">
        <v>1</v>
      </c>
      <c r="E170" s="147"/>
      <c r="F170" s="147">
        <v>1</v>
      </c>
      <c r="G170" s="138">
        <v>1</v>
      </c>
      <c r="H170" s="55"/>
      <c r="I170" s="55"/>
      <c r="J170" s="139">
        <v>1926</v>
      </c>
      <c r="K170" s="139" t="s">
        <v>138</v>
      </c>
      <c r="L170" s="96">
        <v>84.58</v>
      </c>
      <c r="M170" s="140">
        <f t="shared" si="3"/>
        <v>1697.2073669878507</v>
      </c>
    </row>
    <row r="171" spans="1:13" ht="15" customHeight="1">
      <c r="A171" s="357"/>
      <c r="B171" s="357"/>
      <c r="C171" s="359"/>
      <c r="D171" s="138">
        <v>1</v>
      </c>
      <c r="E171" s="147">
        <v>1</v>
      </c>
      <c r="F171" s="147"/>
      <c r="G171" s="138">
        <v>1</v>
      </c>
      <c r="H171" s="55"/>
      <c r="I171" s="55"/>
      <c r="J171" s="139">
        <v>1935</v>
      </c>
      <c r="K171" s="139" t="s">
        <v>139</v>
      </c>
      <c r="L171" s="96">
        <v>16.87</v>
      </c>
      <c r="M171" s="140">
        <f t="shared" si="3"/>
        <v>338.5184237536657</v>
      </c>
    </row>
    <row r="172" spans="1:13" ht="15" customHeight="1">
      <c r="A172" s="357"/>
      <c r="B172" s="357"/>
      <c r="C172" s="359"/>
      <c r="D172" s="138">
        <v>1</v>
      </c>
      <c r="E172" s="147"/>
      <c r="F172" s="147">
        <v>1</v>
      </c>
      <c r="G172" s="138">
        <v>1</v>
      </c>
      <c r="H172" s="55"/>
      <c r="I172" s="55"/>
      <c r="J172" s="139">
        <v>1926</v>
      </c>
      <c r="K172" s="139" t="s">
        <v>139</v>
      </c>
      <c r="L172" s="96">
        <v>0.95</v>
      </c>
      <c r="M172" s="140">
        <f t="shared" si="3"/>
        <v>19.062981776288225</v>
      </c>
    </row>
    <row r="173" spans="1:13" ht="15" customHeight="1">
      <c r="A173" s="357"/>
      <c r="B173" s="357"/>
      <c r="C173" s="359"/>
      <c r="D173" s="138">
        <v>1</v>
      </c>
      <c r="E173" s="147">
        <v>1</v>
      </c>
      <c r="F173" s="147"/>
      <c r="G173" s="138">
        <v>1</v>
      </c>
      <c r="H173" s="55"/>
      <c r="I173" s="55"/>
      <c r="J173" s="139">
        <v>1943</v>
      </c>
      <c r="K173" s="139" t="s">
        <v>139</v>
      </c>
      <c r="L173" s="96">
        <v>7.58</v>
      </c>
      <c r="M173" s="140">
        <f t="shared" si="3"/>
        <v>152.10252827817342</v>
      </c>
    </row>
    <row r="174" spans="1:13" ht="15" customHeight="1">
      <c r="A174" s="357"/>
      <c r="B174" s="357"/>
      <c r="C174" s="359"/>
      <c r="D174" s="138">
        <v>1</v>
      </c>
      <c r="E174" s="147"/>
      <c r="F174" s="147">
        <v>1</v>
      </c>
      <c r="G174" s="138">
        <v>1</v>
      </c>
      <c r="H174" s="55"/>
      <c r="I174" s="55"/>
      <c r="J174" s="139">
        <v>1958</v>
      </c>
      <c r="K174" s="139" t="s">
        <v>139</v>
      </c>
      <c r="L174" s="96">
        <f>520.66-50</f>
        <v>470.65999999999997</v>
      </c>
      <c r="M174" s="140">
        <f t="shared" si="3"/>
        <v>9444.403160871385</v>
      </c>
    </row>
    <row r="175" spans="1:13" ht="15" customHeight="1">
      <c r="A175" s="357"/>
      <c r="B175" s="357"/>
      <c r="C175" s="359"/>
      <c r="D175" s="138">
        <v>1</v>
      </c>
      <c r="E175" s="147">
        <v>1</v>
      </c>
      <c r="F175" s="147"/>
      <c r="G175" s="138">
        <v>1</v>
      </c>
      <c r="H175" s="55"/>
      <c r="I175" s="55"/>
      <c r="J175" s="139">
        <v>1922</v>
      </c>
      <c r="K175" s="139" t="s">
        <v>139</v>
      </c>
      <c r="L175" s="96">
        <v>53.51</v>
      </c>
      <c r="M175" s="140">
        <f t="shared" si="3"/>
        <v>1073.7475314201927</v>
      </c>
    </row>
    <row r="176" spans="1:13" ht="15" customHeight="1">
      <c r="A176" s="357"/>
      <c r="B176" s="357"/>
      <c r="C176" s="359"/>
      <c r="D176" s="138">
        <v>1</v>
      </c>
      <c r="E176" s="147"/>
      <c r="F176" s="147">
        <v>1</v>
      </c>
      <c r="G176" s="138">
        <v>1</v>
      </c>
      <c r="H176" s="55"/>
      <c r="I176" s="55"/>
      <c r="J176" s="139">
        <v>1931</v>
      </c>
      <c r="K176" s="139" t="s">
        <v>139</v>
      </c>
      <c r="L176" s="96">
        <v>22.71</v>
      </c>
      <c r="M176" s="140">
        <f t="shared" si="3"/>
        <v>455.70559593632174</v>
      </c>
    </row>
    <row r="177" spans="1:13" ht="15" customHeight="1">
      <c r="A177" s="357"/>
      <c r="B177" s="357"/>
      <c r="C177" s="359"/>
      <c r="D177" s="138">
        <v>1</v>
      </c>
      <c r="E177" s="147"/>
      <c r="F177" s="147">
        <v>1</v>
      </c>
      <c r="G177" s="138">
        <v>1</v>
      </c>
      <c r="H177" s="55"/>
      <c r="I177" s="55"/>
      <c r="J177" s="139">
        <v>1930</v>
      </c>
      <c r="K177" s="139" t="s">
        <v>139</v>
      </c>
      <c r="L177" s="96">
        <v>38</v>
      </c>
      <c r="M177" s="140">
        <f t="shared" si="3"/>
        <v>762.5192710515291</v>
      </c>
    </row>
    <row r="178" spans="1:13" ht="15" customHeight="1">
      <c r="A178" s="357"/>
      <c r="B178" s="357"/>
      <c r="C178" s="359"/>
      <c r="D178" s="138">
        <v>1</v>
      </c>
      <c r="E178" s="147"/>
      <c r="F178" s="147">
        <v>1</v>
      </c>
      <c r="G178" s="138">
        <v>1</v>
      </c>
      <c r="H178" s="55"/>
      <c r="I178" s="55"/>
      <c r="J178" s="139">
        <v>1939</v>
      </c>
      <c r="K178" s="139" t="s">
        <v>139</v>
      </c>
      <c r="L178" s="96">
        <v>88.33</v>
      </c>
      <c r="M178" s="140">
        <f t="shared" si="3"/>
        <v>1772.4559792626726</v>
      </c>
    </row>
    <row r="179" spans="1:13" ht="15" customHeight="1">
      <c r="A179" s="357"/>
      <c r="B179" s="357"/>
      <c r="C179" s="359"/>
      <c r="D179" s="138">
        <v>1</v>
      </c>
      <c r="E179" s="147"/>
      <c r="F179" s="147">
        <v>1</v>
      </c>
      <c r="G179" s="138">
        <v>1</v>
      </c>
      <c r="H179" s="55"/>
      <c r="I179" s="55"/>
      <c r="J179" s="139">
        <v>1925</v>
      </c>
      <c r="K179" s="139" t="s">
        <v>139</v>
      </c>
      <c r="L179" s="96">
        <v>88.2</v>
      </c>
      <c r="M179" s="140">
        <f t="shared" si="3"/>
        <v>1769.8473607038122</v>
      </c>
    </row>
    <row r="180" spans="1:13" ht="15" customHeight="1">
      <c r="A180" s="357"/>
      <c r="B180" s="357"/>
      <c r="C180" s="359"/>
      <c r="D180" s="138">
        <v>1</v>
      </c>
      <c r="E180" s="147"/>
      <c r="F180" s="147">
        <v>1</v>
      </c>
      <c r="G180" s="138">
        <v>1</v>
      </c>
      <c r="H180" s="55"/>
      <c r="I180" s="55"/>
      <c r="J180" s="139">
        <v>1939</v>
      </c>
      <c r="K180" s="139" t="s">
        <v>139</v>
      </c>
      <c r="L180" s="96">
        <v>12.02</v>
      </c>
      <c r="M180" s="140">
        <f t="shared" si="3"/>
        <v>241.1968852115626</v>
      </c>
    </row>
    <row r="181" spans="1:13" ht="15" customHeight="1">
      <c r="A181" s="357"/>
      <c r="B181" s="357"/>
      <c r="C181" s="359"/>
      <c r="D181" s="138">
        <v>1</v>
      </c>
      <c r="E181" s="147"/>
      <c r="F181" s="147">
        <v>1</v>
      </c>
      <c r="G181" s="138">
        <v>1</v>
      </c>
      <c r="H181" s="55"/>
      <c r="I181" s="55"/>
      <c r="J181" s="139">
        <v>1929</v>
      </c>
      <c r="K181" s="139" t="s">
        <v>139</v>
      </c>
      <c r="L181" s="96">
        <v>0.95</v>
      </c>
      <c r="M181" s="140">
        <f t="shared" si="3"/>
        <v>19.062981776288225</v>
      </c>
    </row>
    <row r="182" spans="1:13" ht="15" customHeight="1">
      <c r="A182" s="357"/>
      <c r="B182" s="357"/>
      <c r="C182" s="359"/>
      <c r="D182" s="138">
        <v>1</v>
      </c>
      <c r="E182" s="147"/>
      <c r="F182" s="147">
        <v>1</v>
      </c>
      <c r="G182" s="138">
        <v>1</v>
      </c>
      <c r="H182" s="55"/>
      <c r="I182" s="55"/>
      <c r="J182" s="139">
        <v>1955</v>
      </c>
      <c r="K182" s="139" t="s">
        <v>139</v>
      </c>
      <c r="L182" s="96">
        <v>19.95</v>
      </c>
      <c r="M182" s="140">
        <f t="shared" si="3"/>
        <v>400.3226173020528</v>
      </c>
    </row>
    <row r="183" spans="1:13" ht="15" customHeight="1">
      <c r="A183" s="357"/>
      <c r="B183" s="357"/>
      <c r="C183" s="359"/>
      <c r="D183" s="138">
        <v>1</v>
      </c>
      <c r="E183" s="147"/>
      <c r="F183" s="147">
        <v>1</v>
      </c>
      <c r="G183" s="138">
        <v>1</v>
      </c>
      <c r="H183" s="55"/>
      <c r="I183" s="55"/>
      <c r="J183" s="139">
        <v>1929</v>
      </c>
      <c r="K183" s="139" t="s">
        <v>139</v>
      </c>
      <c r="L183" s="96">
        <v>3</v>
      </c>
      <c r="M183" s="140">
        <f t="shared" si="3"/>
        <v>60.198889819857555</v>
      </c>
    </row>
    <row r="184" spans="1:13" ht="15" customHeight="1">
      <c r="A184" s="357"/>
      <c r="B184" s="357"/>
      <c r="C184" s="359"/>
      <c r="D184" s="138">
        <v>1</v>
      </c>
      <c r="E184" s="147"/>
      <c r="F184" s="147">
        <v>1</v>
      </c>
      <c r="G184" s="138">
        <v>1</v>
      </c>
      <c r="H184" s="55"/>
      <c r="I184" s="55"/>
      <c r="J184" s="139">
        <v>1921</v>
      </c>
      <c r="K184" s="139" t="s">
        <v>139</v>
      </c>
      <c r="L184" s="96">
        <v>29.75</v>
      </c>
      <c r="M184" s="140">
        <f t="shared" si="3"/>
        <v>596.9723240469208</v>
      </c>
    </row>
    <row r="185" spans="1:13" ht="15" customHeight="1">
      <c r="A185" s="357"/>
      <c r="B185" s="357"/>
      <c r="C185" s="359"/>
      <c r="D185" s="138">
        <v>1</v>
      </c>
      <c r="E185" s="147"/>
      <c r="F185" s="147">
        <v>1</v>
      </c>
      <c r="G185" s="138">
        <v>1</v>
      </c>
      <c r="H185" s="55"/>
      <c r="I185" s="55"/>
      <c r="J185" s="139">
        <v>1925</v>
      </c>
      <c r="K185" s="139" t="s">
        <v>139</v>
      </c>
      <c r="L185" s="96">
        <v>38</v>
      </c>
      <c r="M185" s="140">
        <f t="shared" si="3"/>
        <v>762.5192710515291</v>
      </c>
    </row>
    <row r="186" spans="1:13" ht="15" customHeight="1">
      <c r="A186" s="357"/>
      <c r="B186" s="357"/>
      <c r="C186" s="359"/>
      <c r="D186" s="138">
        <v>1</v>
      </c>
      <c r="E186" s="147"/>
      <c r="F186" s="147">
        <v>1</v>
      </c>
      <c r="G186" s="138">
        <v>1</v>
      </c>
      <c r="H186" s="55"/>
      <c r="I186" s="55"/>
      <c r="J186" s="139">
        <v>1929</v>
      </c>
      <c r="K186" s="139" t="s">
        <v>139</v>
      </c>
      <c r="L186" s="96">
        <v>6.93</v>
      </c>
      <c r="M186" s="140">
        <f t="shared" si="3"/>
        <v>139.05943548387094</v>
      </c>
    </row>
    <row r="187" spans="1:13" ht="15" customHeight="1">
      <c r="A187" s="357"/>
      <c r="B187" s="357"/>
      <c r="C187" s="359"/>
      <c r="D187" s="138">
        <v>1</v>
      </c>
      <c r="E187" s="147"/>
      <c r="F187" s="147">
        <v>1</v>
      </c>
      <c r="G187" s="138">
        <v>1</v>
      </c>
      <c r="H187" s="55"/>
      <c r="I187" s="55"/>
      <c r="J187" s="139">
        <v>1930</v>
      </c>
      <c r="K187" s="139" t="s">
        <v>139</v>
      </c>
      <c r="L187" s="96">
        <v>31.88</v>
      </c>
      <c r="M187" s="140">
        <f t="shared" si="3"/>
        <v>639.7135358190196</v>
      </c>
    </row>
    <row r="188" spans="1:13" ht="15" customHeight="1">
      <c r="A188" s="357"/>
      <c r="B188" s="357"/>
      <c r="C188" s="359"/>
      <c r="D188" s="138">
        <v>1</v>
      </c>
      <c r="E188" s="147"/>
      <c r="F188" s="147">
        <v>1</v>
      </c>
      <c r="G188" s="138">
        <v>1</v>
      </c>
      <c r="H188" s="55"/>
      <c r="I188" s="55"/>
      <c r="J188" s="139">
        <v>1941</v>
      </c>
      <c r="K188" s="139" t="s">
        <v>138</v>
      </c>
      <c r="L188" s="96">
        <v>44.78</v>
      </c>
      <c r="M188" s="140">
        <f t="shared" si="3"/>
        <v>898.5687620444072</v>
      </c>
    </row>
    <row r="189" spans="1:13" ht="15" customHeight="1">
      <c r="A189" s="357"/>
      <c r="B189" s="357"/>
      <c r="C189" s="359"/>
      <c r="D189" s="138">
        <v>1</v>
      </c>
      <c r="E189" s="147"/>
      <c r="F189" s="147">
        <v>1</v>
      </c>
      <c r="G189" s="138">
        <v>1</v>
      </c>
      <c r="H189" s="55"/>
      <c r="I189" s="55"/>
      <c r="J189" s="139">
        <v>1934</v>
      </c>
      <c r="K189" s="139" t="s">
        <v>139</v>
      </c>
      <c r="L189" s="96">
        <v>8.55</v>
      </c>
      <c r="M189" s="140">
        <f t="shared" si="3"/>
        <v>171.56683598659407</v>
      </c>
    </row>
    <row r="190" spans="1:13" ht="15" customHeight="1">
      <c r="A190" s="357"/>
      <c r="B190" s="357"/>
      <c r="C190" s="359"/>
      <c r="D190" s="138">
        <v>1</v>
      </c>
      <c r="E190" s="147">
        <v>1</v>
      </c>
      <c r="F190" s="147"/>
      <c r="G190" s="138">
        <v>1</v>
      </c>
      <c r="H190" s="55"/>
      <c r="I190" s="55"/>
      <c r="J190" s="139">
        <v>1922</v>
      </c>
      <c r="K190" s="139" t="s">
        <v>139</v>
      </c>
      <c r="L190" s="96">
        <v>7.6</v>
      </c>
      <c r="M190" s="140">
        <f t="shared" si="3"/>
        <v>152.5038542103058</v>
      </c>
    </row>
    <row r="191" spans="1:13" ht="15" customHeight="1">
      <c r="A191" s="357"/>
      <c r="B191" s="357"/>
      <c r="C191" s="359"/>
      <c r="D191" s="138">
        <v>1</v>
      </c>
      <c r="E191" s="147"/>
      <c r="F191" s="147">
        <v>1</v>
      </c>
      <c r="G191" s="138">
        <v>1</v>
      </c>
      <c r="H191" s="55"/>
      <c r="I191" s="55"/>
      <c r="J191" s="139">
        <v>1923</v>
      </c>
      <c r="K191" s="139" t="s">
        <v>139</v>
      </c>
      <c r="L191" s="96">
        <v>19</v>
      </c>
      <c r="M191" s="140">
        <f t="shared" si="3"/>
        <v>381.25963552576457</v>
      </c>
    </row>
    <row r="192" spans="1:13" ht="15" customHeight="1">
      <c r="A192" s="357"/>
      <c r="B192" s="357"/>
      <c r="C192" s="359"/>
      <c r="D192" s="138">
        <v>1</v>
      </c>
      <c r="E192" s="147"/>
      <c r="F192" s="147">
        <v>1</v>
      </c>
      <c r="G192" s="138">
        <v>1</v>
      </c>
      <c r="H192" s="55"/>
      <c r="I192" s="55"/>
      <c r="J192" s="139">
        <v>1927</v>
      </c>
      <c r="K192" s="139" t="s">
        <v>139</v>
      </c>
      <c r="L192" s="96">
        <v>1.89</v>
      </c>
      <c r="M192" s="140">
        <f t="shared" si="3"/>
        <v>37.92530058651026</v>
      </c>
    </row>
    <row r="193" spans="1:13" ht="15" customHeight="1">
      <c r="A193" s="357"/>
      <c r="B193" s="357"/>
      <c r="C193" s="359"/>
      <c r="D193" s="138">
        <v>1</v>
      </c>
      <c r="E193" s="147"/>
      <c r="F193" s="147">
        <v>1</v>
      </c>
      <c r="G193" s="138">
        <v>1</v>
      </c>
      <c r="H193" s="55"/>
      <c r="I193" s="55"/>
      <c r="J193" s="139">
        <v>1927</v>
      </c>
      <c r="K193" s="139" t="s">
        <v>139</v>
      </c>
      <c r="L193" s="96">
        <v>2</v>
      </c>
      <c r="M193" s="140">
        <f t="shared" si="3"/>
        <v>40.13259321323837</v>
      </c>
    </row>
    <row r="194" spans="1:13" ht="15" customHeight="1">
      <c r="A194" s="357"/>
      <c r="B194" s="357"/>
      <c r="C194" s="359"/>
      <c r="D194" s="138">
        <v>1</v>
      </c>
      <c r="E194" s="147"/>
      <c r="F194" s="147">
        <v>1</v>
      </c>
      <c r="G194" s="138">
        <v>1</v>
      </c>
      <c r="H194" s="55"/>
      <c r="I194" s="55"/>
      <c r="J194" s="139">
        <v>1930</v>
      </c>
      <c r="K194" s="139" t="s">
        <v>139</v>
      </c>
      <c r="L194" s="96">
        <v>29.27</v>
      </c>
      <c r="M194" s="140">
        <f t="shared" si="3"/>
        <v>587.3405016757436</v>
      </c>
    </row>
    <row r="195" spans="1:16" s="87" customFormat="1" ht="15" customHeight="1">
      <c r="A195" s="374" t="s">
        <v>94</v>
      </c>
      <c r="B195" s="374"/>
      <c r="C195" s="84"/>
      <c r="D195" s="143">
        <f>SUM(D35:D194)</f>
        <v>160</v>
      </c>
      <c r="E195" s="143">
        <f>SUM(E35:E194)</f>
        <v>52</v>
      </c>
      <c r="F195" s="143">
        <f>SUM(F35:F194)</f>
        <v>108</v>
      </c>
      <c r="G195" s="143">
        <f>SUM(G35:G194)</f>
        <v>158</v>
      </c>
      <c r="H195" s="143">
        <f>SUM(H35:H194)</f>
        <v>2</v>
      </c>
      <c r="I195" s="143"/>
      <c r="J195" s="143"/>
      <c r="K195" s="143"/>
      <c r="L195" s="143">
        <f>SUM(L35:L194)</f>
        <v>9547.510000000002</v>
      </c>
      <c r="M195" s="144">
        <v>191593</v>
      </c>
      <c r="N195" s="145" t="s">
        <v>88</v>
      </c>
      <c r="O195" s="87" t="s">
        <v>89</v>
      </c>
      <c r="P195" s="149" t="s">
        <v>89</v>
      </c>
    </row>
    <row r="196" spans="1:16" s="87" customFormat="1" ht="15" customHeight="1">
      <c r="A196" s="381" t="s">
        <v>79</v>
      </c>
      <c r="B196" s="381"/>
      <c r="C196" s="48"/>
      <c r="D196" s="48"/>
      <c r="E196" s="48"/>
      <c r="F196" s="48"/>
      <c r="G196" s="48"/>
      <c r="H196" s="48"/>
      <c r="I196" s="48"/>
      <c r="J196" s="48"/>
      <c r="K196" s="48"/>
      <c r="L196" s="48"/>
      <c r="M196" s="48"/>
      <c r="N196" s="131"/>
      <c r="O196" s="132"/>
      <c r="P196" s="133"/>
    </row>
    <row r="197" spans="1:32" s="136" customFormat="1" ht="44.25" customHeight="1">
      <c r="A197" s="52" t="s">
        <v>2</v>
      </c>
      <c r="B197" s="52" t="s">
        <v>1</v>
      </c>
      <c r="C197" s="52" t="s">
        <v>3</v>
      </c>
      <c r="D197" s="52" t="s">
        <v>120</v>
      </c>
      <c r="E197" s="52" t="s">
        <v>90</v>
      </c>
      <c r="F197" s="52" t="s">
        <v>91</v>
      </c>
      <c r="G197" s="52" t="s">
        <v>140</v>
      </c>
      <c r="H197" s="52" t="s">
        <v>127</v>
      </c>
      <c r="I197" s="52" t="s">
        <v>159</v>
      </c>
      <c r="J197" s="52" t="s">
        <v>119</v>
      </c>
      <c r="K197" s="52" t="s">
        <v>137</v>
      </c>
      <c r="L197" s="52" t="s">
        <v>173</v>
      </c>
      <c r="M197" s="52" t="s">
        <v>19</v>
      </c>
      <c r="N197" s="134"/>
      <c r="O197" s="134"/>
      <c r="P197" s="135"/>
      <c r="Q197" s="135"/>
      <c r="R197" s="135"/>
      <c r="S197" s="135"/>
      <c r="T197" s="135"/>
      <c r="U197" s="135"/>
      <c r="V197" s="135"/>
      <c r="W197" s="135"/>
      <c r="X197" s="135"/>
      <c r="Y197" s="135"/>
      <c r="Z197" s="135"/>
      <c r="AA197" s="135"/>
      <c r="AB197" s="135"/>
      <c r="AC197" s="135"/>
      <c r="AD197" s="135"/>
      <c r="AE197" s="135"/>
      <c r="AF197" s="135"/>
    </row>
    <row r="198" spans="1:13" ht="15" customHeight="1">
      <c r="A198" s="357"/>
      <c r="B198" s="357"/>
      <c r="C198" s="359"/>
      <c r="D198" s="138">
        <v>1</v>
      </c>
      <c r="E198" s="146"/>
      <c r="F198" s="146">
        <v>1</v>
      </c>
      <c r="G198" s="138">
        <v>1</v>
      </c>
      <c r="H198" s="146"/>
      <c r="I198" s="146"/>
      <c r="J198" s="139">
        <v>1922</v>
      </c>
      <c r="K198" s="139" t="s">
        <v>139</v>
      </c>
      <c r="L198" s="96">
        <v>47.72</v>
      </c>
      <c r="M198" s="140">
        <f>17960.87/863.26*L198</f>
        <v>992.8558214211245</v>
      </c>
    </row>
    <row r="199" spans="1:13" ht="15" customHeight="1">
      <c r="A199" s="357"/>
      <c r="B199" s="357"/>
      <c r="C199" s="359"/>
      <c r="D199" s="138">
        <v>1</v>
      </c>
      <c r="E199" s="146">
        <v>1</v>
      </c>
      <c r="F199" s="146"/>
      <c r="G199" s="138">
        <v>1</v>
      </c>
      <c r="H199" s="146"/>
      <c r="I199" s="146"/>
      <c r="J199" s="139">
        <v>1927</v>
      </c>
      <c r="K199" s="139" t="s">
        <v>139</v>
      </c>
      <c r="L199" s="96">
        <v>97.42</v>
      </c>
      <c r="M199" s="140">
        <f aca="true" t="shared" si="4" ref="M199:M211">17960.87/863.26*L199</f>
        <v>2026.9072532029747</v>
      </c>
    </row>
    <row r="200" spans="1:13" ht="15" customHeight="1">
      <c r="A200" s="357"/>
      <c r="B200" s="357"/>
      <c r="C200" s="359"/>
      <c r="D200" s="138">
        <v>1</v>
      </c>
      <c r="E200" s="147"/>
      <c r="F200" s="147">
        <v>1</v>
      </c>
      <c r="G200" s="138">
        <v>1</v>
      </c>
      <c r="H200" s="146"/>
      <c r="I200" s="146"/>
      <c r="J200" s="139">
        <v>1927</v>
      </c>
      <c r="K200" s="139" t="s">
        <v>139</v>
      </c>
      <c r="L200" s="96">
        <v>235.7</v>
      </c>
      <c r="M200" s="140">
        <f t="shared" si="4"/>
        <v>4903.942102031832</v>
      </c>
    </row>
    <row r="201" spans="1:13" ht="15" customHeight="1">
      <c r="A201" s="357"/>
      <c r="B201" s="357"/>
      <c r="C201" s="359"/>
      <c r="D201" s="138">
        <v>1</v>
      </c>
      <c r="E201" s="147">
        <v>1</v>
      </c>
      <c r="F201" s="147"/>
      <c r="G201" s="138">
        <v>1</v>
      </c>
      <c r="H201" s="146"/>
      <c r="I201" s="146"/>
      <c r="J201" s="139">
        <v>1932</v>
      </c>
      <c r="K201" s="139" t="s">
        <v>139</v>
      </c>
      <c r="L201" s="96">
        <v>178.7</v>
      </c>
      <c r="M201" s="140">
        <f t="shared" si="4"/>
        <v>3718.0078643745796</v>
      </c>
    </row>
    <row r="202" spans="1:13" ht="15" customHeight="1">
      <c r="A202" s="357"/>
      <c r="B202" s="357"/>
      <c r="C202" s="359"/>
      <c r="D202" s="138">
        <v>1</v>
      </c>
      <c r="E202" s="147"/>
      <c r="F202" s="147">
        <v>1</v>
      </c>
      <c r="G202" s="138">
        <v>1</v>
      </c>
      <c r="H202" s="146"/>
      <c r="I202" s="146"/>
      <c r="J202" s="139">
        <v>1926</v>
      </c>
      <c r="K202" s="139" t="s">
        <v>139</v>
      </c>
      <c r="L202" s="96">
        <v>37.38</v>
      </c>
      <c r="M202" s="140">
        <f t="shared" si="4"/>
        <v>777.7231895373352</v>
      </c>
    </row>
    <row r="203" spans="1:13" ht="15" customHeight="1">
      <c r="A203" s="357"/>
      <c r="B203" s="357"/>
      <c r="C203" s="359"/>
      <c r="D203" s="138">
        <v>1</v>
      </c>
      <c r="E203" s="147">
        <v>1</v>
      </c>
      <c r="F203" s="147"/>
      <c r="G203" s="138">
        <v>1</v>
      </c>
      <c r="H203" s="146"/>
      <c r="I203" s="146"/>
      <c r="J203" s="139">
        <v>1927</v>
      </c>
      <c r="K203" s="139" t="s">
        <v>139</v>
      </c>
      <c r="L203" s="96">
        <v>10</v>
      </c>
      <c r="M203" s="140">
        <f t="shared" si="4"/>
        <v>208.05863818548292</v>
      </c>
    </row>
    <row r="204" spans="1:13" ht="15" customHeight="1">
      <c r="A204" s="357"/>
      <c r="B204" s="357"/>
      <c r="C204" s="359"/>
      <c r="D204" s="138">
        <v>1</v>
      </c>
      <c r="E204" s="147">
        <v>1</v>
      </c>
      <c r="F204" s="147"/>
      <c r="G204" s="138">
        <v>1</v>
      </c>
      <c r="H204" s="146"/>
      <c r="I204" s="146"/>
      <c r="J204" s="139">
        <v>1932</v>
      </c>
      <c r="K204" s="139" t="s">
        <v>139</v>
      </c>
      <c r="L204" s="96">
        <v>34.82</v>
      </c>
      <c r="M204" s="140">
        <f t="shared" si="4"/>
        <v>724.4601781618516</v>
      </c>
    </row>
    <row r="205" spans="1:13" ht="15" customHeight="1">
      <c r="A205" s="357"/>
      <c r="B205" s="357"/>
      <c r="C205" s="359"/>
      <c r="D205" s="138">
        <v>1</v>
      </c>
      <c r="E205" s="147"/>
      <c r="F205" s="147">
        <v>1</v>
      </c>
      <c r="G205" s="138">
        <v>1</v>
      </c>
      <c r="H205" s="146"/>
      <c r="I205" s="146"/>
      <c r="J205" s="139">
        <v>1922</v>
      </c>
      <c r="K205" s="139" t="s">
        <v>139</v>
      </c>
      <c r="L205" s="96">
        <v>28.5</v>
      </c>
      <c r="M205" s="140">
        <f t="shared" si="4"/>
        <v>592.9671188286263</v>
      </c>
    </row>
    <row r="206" spans="1:13" ht="15" customHeight="1">
      <c r="A206" s="357"/>
      <c r="B206" s="357"/>
      <c r="C206" s="359"/>
      <c r="D206" s="138">
        <v>1</v>
      </c>
      <c r="E206" s="147">
        <v>1</v>
      </c>
      <c r="F206" s="147"/>
      <c r="G206" s="138">
        <v>1</v>
      </c>
      <c r="H206" s="146"/>
      <c r="I206" s="146"/>
      <c r="J206" s="139">
        <v>1914</v>
      </c>
      <c r="K206" s="139" t="s">
        <v>139</v>
      </c>
      <c r="L206" s="96">
        <v>5</v>
      </c>
      <c r="M206" s="140">
        <f t="shared" si="4"/>
        <v>104.02931909274146</v>
      </c>
    </row>
    <row r="207" spans="1:13" ht="15" customHeight="1">
      <c r="A207" s="357"/>
      <c r="B207" s="357"/>
      <c r="C207" s="359"/>
      <c r="D207" s="138">
        <v>1</v>
      </c>
      <c r="E207" s="147"/>
      <c r="F207" s="147">
        <v>1</v>
      </c>
      <c r="G207" s="138">
        <v>1</v>
      </c>
      <c r="H207" s="146"/>
      <c r="I207" s="146"/>
      <c r="J207" s="139">
        <v>1933</v>
      </c>
      <c r="K207" s="139" t="s">
        <v>138</v>
      </c>
      <c r="L207" s="96">
        <v>10</v>
      </c>
      <c r="M207" s="140">
        <f t="shared" si="4"/>
        <v>208.05863818548292</v>
      </c>
    </row>
    <row r="208" spans="1:13" ht="15" customHeight="1">
      <c r="A208" s="357"/>
      <c r="B208" s="357"/>
      <c r="C208" s="359"/>
      <c r="D208" s="138">
        <v>1</v>
      </c>
      <c r="E208" s="147">
        <v>1</v>
      </c>
      <c r="F208" s="147"/>
      <c r="G208" s="138">
        <v>1</v>
      </c>
      <c r="H208" s="55"/>
      <c r="I208" s="55"/>
      <c r="J208" s="139">
        <v>1933</v>
      </c>
      <c r="K208" s="139" t="s">
        <v>139</v>
      </c>
      <c r="L208" s="96">
        <v>23.42</v>
      </c>
      <c r="M208" s="140">
        <f t="shared" si="4"/>
        <v>487.27333063040106</v>
      </c>
    </row>
    <row r="209" spans="1:13" ht="15" customHeight="1">
      <c r="A209" s="357"/>
      <c r="B209" s="357"/>
      <c r="C209" s="359"/>
      <c r="D209" s="138">
        <v>1</v>
      </c>
      <c r="E209" s="147">
        <v>1</v>
      </c>
      <c r="F209" s="147"/>
      <c r="G209" s="138">
        <v>1</v>
      </c>
      <c r="H209" s="55"/>
      <c r="I209" s="55"/>
      <c r="J209" s="139">
        <v>1928</v>
      </c>
      <c r="K209" s="139" t="s">
        <v>139</v>
      </c>
      <c r="L209" s="96">
        <v>10.5</v>
      </c>
      <c r="M209" s="140">
        <f t="shared" si="4"/>
        <v>218.46157009475706</v>
      </c>
    </row>
    <row r="210" spans="1:13" ht="15" customHeight="1">
      <c r="A210" s="357"/>
      <c r="B210" s="357"/>
      <c r="C210" s="359"/>
      <c r="D210" s="138">
        <v>1</v>
      </c>
      <c r="E210" s="147"/>
      <c r="F210" s="147">
        <v>1</v>
      </c>
      <c r="G210" s="138">
        <v>1</v>
      </c>
      <c r="H210" s="55"/>
      <c r="I210" s="55"/>
      <c r="J210" s="139">
        <v>1935</v>
      </c>
      <c r="K210" s="139" t="s">
        <v>139</v>
      </c>
      <c r="L210" s="96">
        <v>25.1</v>
      </c>
      <c r="M210" s="140">
        <f t="shared" si="4"/>
        <v>522.2271818455622</v>
      </c>
    </row>
    <row r="211" spans="1:13" ht="15" customHeight="1">
      <c r="A211" s="357"/>
      <c r="B211" s="357"/>
      <c r="C211" s="359"/>
      <c r="D211" s="138">
        <v>1</v>
      </c>
      <c r="E211" s="147"/>
      <c r="F211" s="147">
        <v>1</v>
      </c>
      <c r="G211" s="138">
        <v>1</v>
      </c>
      <c r="H211" s="55"/>
      <c r="I211" s="55"/>
      <c r="J211" s="139">
        <v>1922</v>
      </c>
      <c r="K211" s="139" t="s">
        <v>139</v>
      </c>
      <c r="L211" s="96">
        <v>119</v>
      </c>
      <c r="M211" s="140">
        <f t="shared" si="4"/>
        <v>2475.8977944072467</v>
      </c>
    </row>
    <row r="212" spans="1:14" s="87" customFormat="1" ht="15" customHeight="1">
      <c r="A212" s="374" t="s">
        <v>95</v>
      </c>
      <c r="B212" s="374"/>
      <c r="C212" s="84"/>
      <c r="D212" s="143">
        <f>SUM(D198:D211)</f>
        <v>14</v>
      </c>
      <c r="E212" s="143">
        <f>SUM(E198:E211)</f>
        <v>7</v>
      </c>
      <c r="F212" s="143">
        <f>SUM(F198:F211)</f>
        <v>7</v>
      </c>
      <c r="G212" s="143">
        <f>SUM(G198:G211)</f>
        <v>14</v>
      </c>
      <c r="H212" s="143">
        <f>SUM(H198:H211)</f>
        <v>0</v>
      </c>
      <c r="I212" s="143"/>
      <c r="J212" s="143"/>
      <c r="K212" s="143"/>
      <c r="L212" s="84">
        <f>SUM(L198:L211)</f>
        <v>863.26</v>
      </c>
      <c r="M212" s="144">
        <f>519.05+17441.82</f>
        <v>17960.87</v>
      </c>
      <c r="N212" s="145" t="s">
        <v>88</v>
      </c>
    </row>
    <row r="213" spans="1:16" s="87" customFormat="1" ht="15" customHeight="1">
      <c r="A213" s="381" t="s">
        <v>80</v>
      </c>
      <c r="B213" s="381"/>
      <c r="C213" s="48"/>
      <c r="D213" s="48"/>
      <c r="E213" s="48"/>
      <c r="F213" s="48"/>
      <c r="G213" s="48"/>
      <c r="H213" s="48"/>
      <c r="I213" s="48"/>
      <c r="J213" s="48"/>
      <c r="K213" s="48"/>
      <c r="L213" s="48"/>
      <c r="M213" s="48"/>
      <c r="N213" s="131"/>
      <c r="O213" s="132"/>
      <c r="P213" s="133"/>
    </row>
    <row r="214" spans="1:32" s="136" customFormat="1" ht="44.25" customHeight="1">
      <c r="A214" s="52" t="s">
        <v>2</v>
      </c>
      <c r="B214" s="52" t="s">
        <v>1</v>
      </c>
      <c r="C214" s="52" t="s">
        <v>3</v>
      </c>
      <c r="D214" s="52" t="s">
        <v>120</v>
      </c>
      <c r="E214" s="52" t="s">
        <v>90</v>
      </c>
      <c r="F214" s="52" t="s">
        <v>91</v>
      </c>
      <c r="G214" s="52" t="s">
        <v>140</v>
      </c>
      <c r="H214" s="52" t="s">
        <v>127</v>
      </c>
      <c r="I214" s="52" t="s">
        <v>159</v>
      </c>
      <c r="J214" s="52" t="s">
        <v>119</v>
      </c>
      <c r="K214" s="52" t="s">
        <v>137</v>
      </c>
      <c r="L214" s="52" t="s">
        <v>173</v>
      </c>
      <c r="M214" s="52" t="s">
        <v>19</v>
      </c>
      <c r="N214" s="134"/>
      <c r="O214" s="134"/>
      <c r="P214" s="135"/>
      <c r="Q214" s="135"/>
      <c r="R214" s="135"/>
      <c r="S214" s="135"/>
      <c r="T214" s="135"/>
      <c r="U214" s="135"/>
      <c r="V214" s="135"/>
      <c r="W214" s="135"/>
      <c r="X214" s="135"/>
      <c r="Y214" s="135"/>
      <c r="Z214" s="135"/>
      <c r="AA214" s="135"/>
      <c r="AB214" s="135"/>
      <c r="AC214" s="135"/>
      <c r="AD214" s="135"/>
      <c r="AE214" s="135"/>
      <c r="AF214" s="135"/>
    </row>
    <row r="215" spans="1:13" ht="15" customHeight="1">
      <c r="A215" s="357"/>
      <c r="B215" s="357"/>
      <c r="C215" s="359"/>
      <c r="D215" s="138">
        <v>1</v>
      </c>
      <c r="E215" s="146"/>
      <c r="F215" s="146">
        <v>1</v>
      </c>
      <c r="G215" s="138">
        <v>1</v>
      </c>
      <c r="H215" s="146"/>
      <c r="I215" s="146"/>
      <c r="J215" s="139">
        <v>1917</v>
      </c>
      <c r="K215" s="139" t="s">
        <v>139</v>
      </c>
      <c r="L215" s="96">
        <v>49.05</v>
      </c>
      <c r="M215" s="140">
        <f>89302.38/4153.2*L215</f>
        <v>1054.6763312626408</v>
      </c>
    </row>
    <row r="216" spans="1:13" ht="15" customHeight="1">
      <c r="A216" s="357"/>
      <c r="B216" s="357"/>
      <c r="C216" s="359"/>
      <c r="D216" s="138">
        <v>1</v>
      </c>
      <c r="E216" s="146">
        <v>1</v>
      </c>
      <c r="F216" s="146"/>
      <c r="G216" s="138">
        <v>1</v>
      </c>
      <c r="H216" s="146"/>
      <c r="I216" s="146"/>
      <c r="J216" s="139">
        <v>1919</v>
      </c>
      <c r="K216" s="139" t="s">
        <v>139</v>
      </c>
      <c r="L216" s="96">
        <v>160.59</v>
      </c>
      <c r="M216" s="140">
        <f aca="true" t="shared" si="5" ref="M216:M264">89302.38/4153.2*L216</f>
        <v>3453.0167591736495</v>
      </c>
    </row>
    <row r="217" spans="1:13" ht="15" customHeight="1">
      <c r="A217" s="357"/>
      <c r="B217" s="357"/>
      <c r="C217" s="359"/>
      <c r="D217" s="138">
        <v>1</v>
      </c>
      <c r="E217" s="146"/>
      <c r="F217" s="146">
        <v>1</v>
      </c>
      <c r="G217" s="138">
        <v>1</v>
      </c>
      <c r="H217" s="146"/>
      <c r="I217" s="146"/>
      <c r="J217" s="139">
        <v>1928</v>
      </c>
      <c r="K217" s="139" t="s">
        <v>139</v>
      </c>
      <c r="L217" s="96">
        <v>1.66</v>
      </c>
      <c r="M217" s="140">
        <f t="shared" si="5"/>
        <v>35.69342935567755</v>
      </c>
    </row>
    <row r="218" spans="1:13" ht="15" customHeight="1">
      <c r="A218" s="357"/>
      <c r="B218" s="357"/>
      <c r="C218" s="359"/>
      <c r="D218" s="138">
        <v>1</v>
      </c>
      <c r="E218" s="146">
        <v>1</v>
      </c>
      <c r="F218" s="146"/>
      <c r="G218" s="138">
        <v>1</v>
      </c>
      <c r="H218" s="146"/>
      <c r="I218" s="146"/>
      <c r="J218" s="139">
        <v>1927</v>
      </c>
      <c r="K218" s="139" t="s">
        <v>139</v>
      </c>
      <c r="L218" s="96">
        <v>177.82</v>
      </c>
      <c r="M218" s="140">
        <f t="shared" si="5"/>
        <v>3823.4973542328808</v>
      </c>
    </row>
    <row r="219" spans="1:13" ht="15" customHeight="1">
      <c r="A219" s="357"/>
      <c r="B219" s="357"/>
      <c r="C219" s="359"/>
      <c r="D219" s="138">
        <v>1</v>
      </c>
      <c r="E219" s="147"/>
      <c r="F219" s="147">
        <v>1</v>
      </c>
      <c r="G219" s="138">
        <v>1</v>
      </c>
      <c r="H219" s="55"/>
      <c r="I219" s="55"/>
      <c r="J219" s="139">
        <v>1935</v>
      </c>
      <c r="K219" s="139" t="s">
        <v>139</v>
      </c>
      <c r="L219" s="96">
        <v>74.88</v>
      </c>
      <c r="M219" s="140">
        <f t="shared" si="5"/>
        <v>1610.0746928633343</v>
      </c>
    </row>
    <row r="220" spans="1:13" ht="15" customHeight="1">
      <c r="A220" s="357"/>
      <c r="B220" s="357"/>
      <c r="C220" s="359"/>
      <c r="D220" s="138">
        <v>1</v>
      </c>
      <c r="E220" s="147"/>
      <c r="F220" s="147">
        <v>1</v>
      </c>
      <c r="G220" s="138">
        <v>1</v>
      </c>
      <c r="H220" s="55"/>
      <c r="I220" s="55"/>
      <c r="J220" s="139">
        <v>1941</v>
      </c>
      <c r="K220" s="139" t="s">
        <v>139</v>
      </c>
      <c r="L220" s="96">
        <v>85.16</v>
      </c>
      <c r="M220" s="140">
        <f t="shared" si="5"/>
        <v>1831.115930078012</v>
      </c>
    </row>
    <row r="221" spans="1:13" ht="15" customHeight="1">
      <c r="A221" s="357"/>
      <c r="B221" s="357"/>
      <c r="C221" s="359"/>
      <c r="D221" s="138">
        <v>1</v>
      </c>
      <c r="E221" s="147"/>
      <c r="F221" s="147">
        <v>1</v>
      </c>
      <c r="G221" s="138">
        <v>1</v>
      </c>
      <c r="H221" s="55"/>
      <c r="I221" s="55"/>
      <c r="J221" s="139">
        <v>1927</v>
      </c>
      <c r="K221" s="139" t="s">
        <v>139</v>
      </c>
      <c r="L221" s="96">
        <v>29.43</v>
      </c>
      <c r="M221" s="140">
        <f t="shared" si="5"/>
        <v>632.8057987575845</v>
      </c>
    </row>
    <row r="222" spans="1:13" ht="15" customHeight="1">
      <c r="A222" s="357"/>
      <c r="B222" s="357"/>
      <c r="C222" s="359"/>
      <c r="D222" s="138">
        <v>1</v>
      </c>
      <c r="E222" s="147"/>
      <c r="F222" s="147">
        <v>1</v>
      </c>
      <c r="G222" s="138">
        <v>1</v>
      </c>
      <c r="H222" s="55"/>
      <c r="I222" s="55"/>
      <c r="J222" s="139">
        <v>1939</v>
      </c>
      <c r="K222" s="139" t="s">
        <v>139</v>
      </c>
      <c r="L222" s="96">
        <v>108.25</v>
      </c>
      <c r="M222" s="140">
        <f t="shared" si="5"/>
        <v>2327.5986311759607</v>
      </c>
    </row>
    <row r="223" spans="1:13" ht="15" customHeight="1">
      <c r="A223" s="357"/>
      <c r="B223" s="357"/>
      <c r="C223" s="359"/>
      <c r="D223" s="138">
        <v>1</v>
      </c>
      <c r="E223" s="147">
        <v>1</v>
      </c>
      <c r="F223" s="147"/>
      <c r="G223" s="138">
        <v>1</v>
      </c>
      <c r="H223" s="55"/>
      <c r="I223" s="55"/>
      <c r="J223" s="139">
        <v>1928</v>
      </c>
      <c r="K223" s="139" t="s">
        <v>139</v>
      </c>
      <c r="L223" s="96">
        <f>42.25+21.1</f>
        <v>63.35</v>
      </c>
      <c r="M223" s="140">
        <f t="shared" si="5"/>
        <v>1362.1558733025138</v>
      </c>
    </row>
    <row r="224" spans="1:13" ht="15" customHeight="1">
      <c r="A224" s="357"/>
      <c r="B224" s="357"/>
      <c r="C224" s="359"/>
      <c r="D224" s="138">
        <v>1</v>
      </c>
      <c r="E224" s="147"/>
      <c r="F224" s="147">
        <v>1</v>
      </c>
      <c r="G224" s="138">
        <v>1</v>
      </c>
      <c r="H224" s="55"/>
      <c r="I224" s="55"/>
      <c r="J224" s="139">
        <v>1934</v>
      </c>
      <c r="K224" s="139" t="s">
        <v>139</v>
      </c>
      <c r="L224" s="96">
        <v>45.78</v>
      </c>
      <c r="M224" s="140">
        <f t="shared" si="5"/>
        <v>984.3645758451315</v>
      </c>
    </row>
    <row r="225" spans="1:13" ht="15" customHeight="1">
      <c r="A225" s="357"/>
      <c r="B225" s="357"/>
      <c r="C225" s="359"/>
      <c r="D225" s="138">
        <v>1</v>
      </c>
      <c r="E225" s="147"/>
      <c r="F225" s="147">
        <v>1</v>
      </c>
      <c r="G225" s="138">
        <v>1</v>
      </c>
      <c r="H225" s="55"/>
      <c r="I225" s="55"/>
      <c r="J225" s="139">
        <v>1936</v>
      </c>
      <c r="K225" s="139" t="s">
        <v>139</v>
      </c>
      <c r="L225" s="96">
        <v>200.52</v>
      </c>
      <c r="M225" s="140">
        <f t="shared" si="5"/>
        <v>4311.594249638833</v>
      </c>
    </row>
    <row r="226" spans="1:13" ht="15" customHeight="1">
      <c r="A226" s="357"/>
      <c r="B226" s="357"/>
      <c r="C226" s="359"/>
      <c r="D226" s="138">
        <v>1</v>
      </c>
      <c r="E226" s="147"/>
      <c r="F226" s="147">
        <v>1</v>
      </c>
      <c r="G226" s="138">
        <v>1</v>
      </c>
      <c r="H226" s="55"/>
      <c r="I226" s="55"/>
      <c r="J226" s="139">
        <v>1920</v>
      </c>
      <c r="K226" s="139" t="s">
        <v>139</v>
      </c>
      <c r="L226" s="96">
        <v>33.35</v>
      </c>
      <c r="M226" s="140">
        <f t="shared" si="5"/>
        <v>717.0938969950881</v>
      </c>
    </row>
    <row r="227" spans="1:13" ht="15" customHeight="1">
      <c r="A227" s="357"/>
      <c r="B227" s="357"/>
      <c r="C227" s="359"/>
      <c r="D227" s="138">
        <v>1</v>
      </c>
      <c r="E227" s="147">
        <v>1</v>
      </c>
      <c r="F227" s="147"/>
      <c r="G227" s="138">
        <v>1</v>
      </c>
      <c r="H227" s="55"/>
      <c r="I227" s="55"/>
      <c r="J227" s="139">
        <v>1948</v>
      </c>
      <c r="K227" s="139" t="s">
        <v>139</v>
      </c>
      <c r="L227" s="96">
        <v>117.07</v>
      </c>
      <c r="M227" s="140">
        <f t="shared" si="5"/>
        <v>2517.2468522103436</v>
      </c>
    </row>
    <row r="228" spans="1:13" ht="15" customHeight="1">
      <c r="A228" s="357"/>
      <c r="B228" s="362"/>
      <c r="C228" s="359"/>
      <c r="D228" s="138">
        <v>1</v>
      </c>
      <c r="E228" s="147"/>
      <c r="F228" s="147">
        <v>1</v>
      </c>
      <c r="G228" s="138">
        <v>1</v>
      </c>
      <c r="H228" s="55"/>
      <c r="I228" s="55"/>
      <c r="J228" s="139">
        <v>1928</v>
      </c>
      <c r="K228" s="139" t="s">
        <v>138</v>
      </c>
      <c r="L228" s="96">
        <v>26.8</v>
      </c>
      <c r="M228" s="140">
        <f t="shared" si="5"/>
        <v>576.2553655013003</v>
      </c>
    </row>
    <row r="229" spans="1:13" ht="15" customHeight="1">
      <c r="A229" s="357"/>
      <c r="B229" s="357"/>
      <c r="C229" s="359"/>
      <c r="D229" s="138">
        <v>1</v>
      </c>
      <c r="E229" s="147">
        <v>1</v>
      </c>
      <c r="F229" s="147"/>
      <c r="G229" s="138">
        <v>1</v>
      </c>
      <c r="H229" s="55"/>
      <c r="I229" s="55"/>
      <c r="J229" s="139">
        <v>1951</v>
      </c>
      <c r="K229" s="139" t="s">
        <v>139</v>
      </c>
      <c r="L229" s="96">
        <v>12.28</v>
      </c>
      <c r="M229" s="140">
        <f t="shared" si="5"/>
        <v>264.0453689685062</v>
      </c>
    </row>
    <row r="230" spans="1:13" ht="15" customHeight="1">
      <c r="A230" s="357"/>
      <c r="B230" s="357"/>
      <c r="C230" s="359"/>
      <c r="D230" s="138">
        <v>1</v>
      </c>
      <c r="E230" s="147"/>
      <c r="F230" s="147">
        <v>1</v>
      </c>
      <c r="G230" s="138">
        <v>1</v>
      </c>
      <c r="H230" s="55"/>
      <c r="I230" s="55"/>
      <c r="J230" s="139">
        <v>1926</v>
      </c>
      <c r="K230" s="139" t="s">
        <v>139</v>
      </c>
      <c r="L230" s="96">
        <v>8.55</v>
      </c>
      <c r="M230" s="140">
        <f t="shared" si="5"/>
        <v>183.84266324761631</v>
      </c>
    </row>
    <row r="231" spans="1:13" ht="15" customHeight="1">
      <c r="A231" s="357"/>
      <c r="B231" s="357"/>
      <c r="C231" s="359"/>
      <c r="D231" s="138">
        <v>1</v>
      </c>
      <c r="E231" s="147"/>
      <c r="F231" s="147">
        <v>1</v>
      </c>
      <c r="G231" s="138">
        <v>1</v>
      </c>
      <c r="H231" s="55"/>
      <c r="I231" s="55"/>
      <c r="J231" s="139">
        <v>1926</v>
      </c>
      <c r="K231" s="139" t="s">
        <v>139</v>
      </c>
      <c r="L231" s="96">
        <f>63.16+23.76</f>
        <v>86.92</v>
      </c>
      <c r="M231" s="140">
        <f t="shared" si="5"/>
        <v>1868.9595660213813</v>
      </c>
    </row>
    <row r="232" spans="1:13" ht="15" customHeight="1">
      <c r="A232" s="357"/>
      <c r="B232" s="357"/>
      <c r="C232" s="359"/>
      <c r="D232" s="138">
        <v>1</v>
      </c>
      <c r="E232" s="147">
        <v>1</v>
      </c>
      <c r="F232" s="147"/>
      <c r="G232" s="138">
        <v>1</v>
      </c>
      <c r="H232" s="55"/>
      <c r="I232" s="55"/>
      <c r="J232" s="139">
        <v>1925</v>
      </c>
      <c r="K232" s="139" t="s">
        <v>139</v>
      </c>
      <c r="L232" s="96">
        <v>65.88</v>
      </c>
      <c r="M232" s="140">
        <f t="shared" si="5"/>
        <v>1416.5560999711065</v>
      </c>
    </row>
    <row r="233" spans="1:13" ht="15" customHeight="1">
      <c r="A233" s="357"/>
      <c r="B233" s="357"/>
      <c r="C233" s="359"/>
      <c r="D233" s="138">
        <v>1</v>
      </c>
      <c r="E233" s="147"/>
      <c r="F233" s="147">
        <v>1</v>
      </c>
      <c r="G233" s="138">
        <v>1</v>
      </c>
      <c r="H233" s="55"/>
      <c r="I233" s="55"/>
      <c r="J233" s="139">
        <v>1922</v>
      </c>
      <c r="K233" s="139" t="s">
        <v>139</v>
      </c>
      <c r="L233" s="96">
        <v>50.99</v>
      </c>
      <c r="M233" s="140">
        <f t="shared" si="5"/>
        <v>1096.3903390638545</v>
      </c>
    </row>
    <row r="234" spans="1:13" ht="15" customHeight="1">
      <c r="A234" s="357"/>
      <c r="B234" s="357"/>
      <c r="C234" s="323"/>
      <c r="D234" s="138">
        <v>1</v>
      </c>
      <c r="E234" s="147"/>
      <c r="F234" s="147">
        <v>1</v>
      </c>
      <c r="G234" s="138">
        <v>1</v>
      </c>
      <c r="H234" s="55"/>
      <c r="I234" s="55"/>
      <c r="J234" s="139">
        <v>1930</v>
      </c>
      <c r="K234" s="139" t="s">
        <v>139</v>
      </c>
      <c r="L234" s="96">
        <v>1.12</v>
      </c>
      <c r="M234" s="140">
        <f t="shared" si="5"/>
        <v>24.082313782143892</v>
      </c>
    </row>
    <row r="235" spans="1:13" ht="15" customHeight="1">
      <c r="A235" s="357"/>
      <c r="B235" s="357"/>
      <c r="C235" s="359"/>
      <c r="D235" s="138">
        <v>1</v>
      </c>
      <c r="E235" s="147"/>
      <c r="F235" s="147">
        <v>1</v>
      </c>
      <c r="G235" s="138">
        <v>1</v>
      </c>
      <c r="H235" s="55"/>
      <c r="I235" s="55"/>
      <c r="J235" s="139">
        <v>1927</v>
      </c>
      <c r="K235" s="139" t="s">
        <v>139</v>
      </c>
      <c r="L235" s="96">
        <f>30.15+1.12</f>
        <v>31.27</v>
      </c>
      <c r="M235" s="140">
        <f t="shared" si="5"/>
        <v>672.3695999711066</v>
      </c>
    </row>
    <row r="236" spans="1:13" ht="15" customHeight="1">
      <c r="A236" s="357"/>
      <c r="B236" s="357"/>
      <c r="C236" s="359"/>
      <c r="D236" s="138">
        <v>1</v>
      </c>
      <c r="E236" s="147">
        <v>1</v>
      </c>
      <c r="F236" s="147"/>
      <c r="G236" s="138">
        <v>1</v>
      </c>
      <c r="H236" s="55"/>
      <c r="I236" s="55"/>
      <c r="J236" s="139">
        <v>1923</v>
      </c>
      <c r="K236" s="139" t="s">
        <v>139</v>
      </c>
      <c r="L236" s="96">
        <v>56.36</v>
      </c>
      <c r="M236" s="140">
        <f t="shared" si="5"/>
        <v>1211.8564328228836</v>
      </c>
    </row>
    <row r="237" spans="1:13" ht="15" customHeight="1">
      <c r="A237" s="357"/>
      <c r="B237" s="357"/>
      <c r="C237" s="359"/>
      <c r="D237" s="138">
        <v>1</v>
      </c>
      <c r="E237" s="147">
        <v>1</v>
      </c>
      <c r="F237" s="147"/>
      <c r="G237" s="138">
        <v>1</v>
      </c>
      <c r="H237" s="55"/>
      <c r="I237" s="55"/>
      <c r="J237" s="139">
        <v>1926</v>
      </c>
      <c r="K237" s="139" t="s">
        <v>139</v>
      </c>
      <c r="L237" s="96">
        <v>17.87</v>
      </c>
      <c r="M237" s="140">
        <f t="shared" si="5"/>
        <v>384.24191722045657</v>
      </c>
    </row>
    <row r="238" spans="1:13" ht="15" customHeight="1">
      <c r="A238" s="357"/>
      <c r="B238" s="357"/>
      <c r="C238" s="359"/>
      <c r="D238" s="138">
        <v>1</v>
      </c>
      <c r="E238" s="147"/>
      <c r="F238" s="147">
        <v>1</v>
      </c>
      <c r="G238" s="138">
        <v>1</v>
      </c>
      <c r="H238" s="55"/>
      <c r="I238" s="55"/>
      <c r="J238" s="139">
        <v>1919</v>
      </c>
      <c r="K238" s="139" t="s">
        <v>139</v>
      </c>
      <c r="L238" s="96">
        <v>36.39</v>
      </c>
      <c r="M238" s="140">
        <f t="shared" si="5"/>
        <v>782.4601772609072</v>
      </c>
    </row>
    <row r="239" spans="1:13" ht="15" customHeight="1">
      <c r="A239" s="357"/>
      <c r="B239" s="357"/>
      <c r="C239" s="359"/>
      <c r="D239" s="138">
        <v>1</v>
      </c>
      <c r="E239" s="147">
        <v>1</v>
      </c>
      <c r="F239" s="147"/>
      <c r="G239" s="138">
        <v>1</v>
      </c>
      <c r="H239" s="55"/>
      <c r="I239" s="55"/>
      <c r="J239" s="139">
        <v>1923</v>
      </c>
      <c r="K239" s="139" t="s">
        <v>139</v>
      </c>
      <c r="L239" s="96">
        <v>281.12</v>
      </c>
      <c r="M239" s="140">
        <f t="shared" si="5"/>
        <v>6044.660759318116</v>
      </c>
    </row>
    <row r="240" spans="1:13" ht="15" customHeight="1">
      <c r="A240" s="357"/>
      <c r="B240" s="357"/>
      <c r="C240" s="359"/>
      <c r="D240" s="138">
        <v>1</v>
      </c>
      <c r="E240" s="147"/>
      <c r="F240" s="147">
        <v>1</v>
      </c>
      <c r="G240" s="138">
        <v>1</v>
      </c>
      <c r="H240" s="55"/>
      <c r="I240" s="55"/>
      <c r="J240" s="139">
        <v>1915</v>
      </c>
      <c r="K240" s="139" t="s">
        <v>139</v>
      </c>
      <c r="L240" s="96">
        <v>226.74</v>
      </c>
      <c r="M240" s="140">
        <f t="shared" si="5"/>
        <v>4875.378416931523</v>
      </c>
    </row>
    <row r="241" spans="1:13" ht="15" customHeight="1">
      <c r="A241" s="357"/>
      <c r="B241" s="357"/>
      <c r="C241" s="359"/>
      <c r="D241" s="138">
        <v>1</v>
      </c>
      <c r="E241" s="147">
        <v>1</v>
      </c>
      <c r="F241" s="147"/>
      <c r="G241" s="138">
        <v>1</v>
      </c>
      <c r="H241" s="55"/>
      <c r="I241" s="55"/>
      <c r="J241" s="139">
        <v>1931</v>
      </c>
      <c r="K241" s="139" t="s">
        <v>139</v>
      </c>
      <c r="L241" s="96">
        <v>132.77</v>
      </c>
      <c r="M241" s="140">
        <f t="shared" si="5"/>
        <v>2854.829286477897</v>
      </c>
    </row>
    <row r="242" spans="1:13" ht="15" customHeight="1">
      <c r="A242" s="357"/>
      <c r="B242" s="362"/>
      <c r="C242" s="359"/>
      <c r="D242" s="138">
        <v>1</v>
      </c>
      <c r="E242" s="147">
        <v>1</v>
      </c>
      <c r="F242" s="147"/>
      <c r="G242" s="138">
        <v>1</v>
      </c>
      <c r="H242" s="55"/>
      <c r="I242" s="55"/>
      <c r="J242" s="139">
        <v>1921</v>
      </c>
      <c r="K242" s="139" t="s">
        <v>138</v>
      </c>
      <c r="L242" s="96">
        <v>58.49</v>
      </c>
      <c r="M242" s="140">
        <f t="shared" si="5"/>
        <v>1257.655833140711</v>
      </c>
    </row>
    <row r="243" spans="1:13" ht="15" customHeight="1">
      <c r="A243" s="357"/>
      <c r="B243" s="357"/>
      <c r="C243" s="359"/>
      <c r="D243" s="138">
        <v>1</v>
      </c>
      <c r="E243" s="147">
        <v>1</v>
      </c>
      <c r="F243" s="147"/>
      <c r="G243" s="138">
        <v>1</v>
      </c>
      <c r="H243" s="55"/>
      <c r="I243" s="55"/>
      <c r="J243" s="139">
        <v>1934</v>
      </c>
      <c r="K243" s="139" t="s">
        <v>139</v>
      </c>
      <c r="L243" s="96">
        <v>51.04</v>
      </c>
      <c r="M243" s="140">
        <f t="shared" si="5"/>
        <v>1097.4654423577</v>
      </c>
    </row>
    <row r="244" spans="1:13" ht="15" customHeight="1">
      <c r="A244" s="357"/>
      <c r="B244" s="357"/>
      <c r="C244" s="359"/>
      <c r="D244" s="138">
        <v>1</v>
      </c>
      <c r="E244" s="147"/>
      <c r="F244" s="147">
        <v>1</v>
      </c>
      <c r="G244" s="138">
        <v>1</v>
      </c>
      <c r="H244" s="55"/>
      <c r="I244" s="55"/>
      <c r="J244" s="139">
        <v>1927</v>
      </c>
      <c r="K244" s="139" t="s">
        <v>139</v>
      </c>
      <c r="L244" s="96">
        <v>48.25</v>
      </c>
      <c r="M244" s="140">
        <f t="shared" si="5"/>
        <v>1037.4746785611096</v>
      </c>
    </row>
    <row r="245" spans="1:13" ht="15" customHeight="1">
      <c r="A245" s="357"/>
      <c r="B245" s="357"/>
      <c r="C245" s="359"/>
      <c r="D245" s="138">
        <v>1</v>
      </c>
      <c r="E245" s="147">
        <v>1</v>
      </c>
      <c r="F245" s="147"/>
      <c r="G245" s="138">
        <v>1</v>
      </c>
      <c r="H245" s="55"/>
      <c r="I245" s="55"/>
      <c r="J245" s="139">
        <v>1928</v>
      </c>
      <c r="K245" s="139" t="s">
        <v>139</v>
      </c>
      <c r="L245" s="96">
        <v>18.44</v>
      </c>
      <c r="M245" s="140">
        <f t="shared" si="5"/>
        <v>396.49809477029766</v>
      </c>
    </row>
    <row r="246" spans="1:13" ht="15" customHeight="1">
      <c r="A246" s="357"/>
      <c r="B246" s="357"/>
      <c r="C246" s="359"/>
      <c r="D246" s="138">
        <v>1</v>
      </c>
      <c r="E246" s="147">
        <v>1</v>
      </c>
      <c r="F246" s="147"/>
      <c r="G246" s="138">
        <v>1</v>
      </c>
      <c r="H246" s="55"/>
      <c r="I246" s="55"/>
      <c r="J246" s="139">
        <v>1942</v>
      </c>
      <c r="K246" s="139" t="s">
        <v>139</v>
      </c>
      <c r="L246" s="96">
        <v>197.75</v>
      </c>
      <c r="M246" s="140">
        <f t="shared" si="5"/>
        <v>4252.0335271597805</v>
      </c>
    </row>
    <row r="247" spans="1:13" ht="15" customHeight="1">
      <c r="A247" s="357"/>
      <c r="B247" s="357"/>
      <c r="C247" s="359"/>
      <c r="D247" s="138">
        <v>1</v>
      </c>
      <c r="E247" s="147"/>
      <c r="F247" s="147">
        <v>1</v>
      </c>
      <c r="G247" s="138">
        <v>1</v>
      </c>
      <c r="H247" s="55"/>
      <c r="I247" s="55"/>
      <c r="J247" s="139">
        <v>1925</v>
      </c>
      <c r="K247" s="139" t="s">
        <v>139</v>
      </c>
      <c r="L247" s="96">
        <v>69.62</v>
      </c>
      <c r="M247" s="140">
        <f t="shared" si="5"/>
        <v>1496.9738263507659</v>
      </c>
    </row>
    <row r="248" spans="1:13" ht="15" customHeight="1">
      <c r="A248" s="357"/>
      <c r="B248" s="357"/>
      <c r="C248" s="359"/>
      <c r="D248" s="138">
        <v>1</v>
      </c>
      <c r="E248" s="147">
        <v>1</v>
      </c>
      <c r="F248" s="147"/>
      <c r="G248" s="138">
        <v>1</v>
      </c>
      <c r="H248" s="55"/>
      <c r="I248" s="55"/>
      <c r="J248" s="139">
        <v>1929</v>
      </c>
      <c r="K248" s="139" t="s">
        <v>139</v>
      </c>
      <c r="L248" s="96">
        <v>92.08</v>
      </c>
      <c r="M248" s="140">
        <f t="shared" si="5"/>
        <v>1979.9102259462584</v>
      </c>
    </row>
    <row r="249" spans="1:13" ht="15" customHeight="1">
      <c r="A249" s="357"/>
      <c r="B249" s="357"/>
      <c r="C249" s="359"/>
      <c r="D249" s="138">
        <v>1</v>
      </c>
      <c r="E249" s="147"/>
      <c r="F249" s="147">
        <v>1</v>
      </c>
      <c r="G249" s="138">
        <v>1</v>
      </c>
      <c r="H249" s="55"/>
      <c r="I249" s="55"/>
      <c r="J249" s="139">
        <v>1928</v>
      </c>
      <c r="K249" s="139" t="s">
        <v>139</v>
      </c>
      <c r="L249" s="96">
        <v>81.96</v>
      </c>
      <c r="M249" s="140">
        <f t="shared" si="5"/>
        <v>1762.3093192718866</v>
      </c>
    </row>
    <row r="250" spans="1:13" ht="15" customHeight="1">
      <c r="A250" s="357"/>
      <c r="B250" s="357"/>
      <c r="C250" s="359"/>
      <c r="D250" s="138">
        <v>1</v>
      </c>
      <c r="E250" s="147"/>
      <c r="F250" s="147">
        <v>1</v>
      </c>
      <c r="G250" s="138">
        <v>1</v>
      </c>
      <c r="H250" s="55"/>
      <c r="I250" s="55"/>
      <c r="J250" s="139">
        <v>1930</v>
      </c>
      <c r="K250" s="139" t="s">
        <v>139</v>
      </c>
      <c r="L250" s="96">
        <v>254.95</v>
      </c>
      <c r="M250" s="140">
        <f t="shared" si="5"/>
        <v>5481.9516953192715</v>
      </c>
    </row>
    <row r="251" spans="1:13" ht="15" customHeight="1">
      <c r="A251" s="357"/>
      <c r="B251" s="357"/>
      <c r="C251" s="359"/>
      <c r="D251" s="138">
        <v>1</v>
      </c>
      <c r="E251" s="147">
        <v>1</v>
      </c>
      <c r="F251" s="147"/>
      <c r="G251" s="138">
        <v>1</v>
      </c>
      <c r="H251" s="55"/>
      <c r="I251" s="55"/>
      <c r="J251" s="139">
        <v>1927</v>
      </c>
      <c r="K251" s="139" t="s">
        <v>139</v>
      </c>
      <c r="L251" s="96">
        <v>44.58</v>
      </c>
      <c r="M251" s="140">
        <f t="shared" si="5"/>
        <v>958.5620967928345</v>
      </c>
    </row>
    <row r="252" spans="1:13" ht="15" customHeight="1">
      <c r="A252" s="357"/>
      <c r="B252" s="357"/>
      <c r="C252" s="359"/>
      <c r="D252" s="138">
        <v>1</v>
      </c>
      <c r="E252" s="147">
        <v>1</v>
      </c>
      <c r="F252" s="147"/>
      <c r="G252" s="138">
        <v>1</v>
      </c>
      <c r="H252" s="55"/>
      <c r="I252" s="55"/>
      <c r="J252" s="139">
        <v>1928</v>
      </c>
      <c r="K252" s="139" t="s">
        <v>139</v>
      </c>
      <c r="L252" s="96">
        <v>19.37</v>
      </c>
      <c r="M252" s="140">
        <f t="shared" si="5"/>
        <v>416.49501603582786</v>
      </c>
    </row>
    <row r="253" spans="1:13" ht="15" customHeight="1">
      <c r="A253" s="357"/>
      <c r="B253" s="357"/>
      <c r="C253" s="359"/>
      <c r="D253" s="138">
        <v>1</v>
      </c>
      <c r="E253" s="147"/>
      <c r="F253" s="147">
        <v>1</v>
      </c>
      <c r="G253" s="138">
        <v>1</v>
      </c>
      <c r="H253" s="55"/>
      <c r="I253" s="55"/>
      <c r="J253" s="139">
        <v>1918</v>
      </c>
      <c r="K253" s="139" t="s">
        <v>139</v>
      </c>
      <c r="L253" s="96">
        <v>279.86</v>
      </c>
      <c r="M253" s="140">
        <f t="shared" si="5"/>
        <v>6017.568156313205</v>
      </c>
    </row>
    <row r="254" spans="1:13" ht="15" customHeight="1">
      <c r="A254" s="357"/>
      <c r="B254" s="357"/>
      <c r="C254" s="359"/>
      <c r="D254" s="138">
        <v>1</v>
      </c>
      <c r="E254" s="147"/>
      <c r="F254" s="147">
        <v>1</v>
      </c>
      <c r="G254" s="138">
        <v>1</v>
      </c>
      <c r="H254" s="55"/>
      <c r="I254" s="55"/>
      <c r="J254" s="139">
        <v>1949</v>
      </c>
      <c r="K254" s="139" t="s">
        <v>139</v>
      </c>
      <c r="L254" s="96">
        <v>57.85</v>
      </c>
      <c r="M254" s="140">
        <f t="shared" si="5"/>
        <v>1243.8945109794859</v>
      </c>
    </row>
    <row r="255" spans="1:13" ht="15" customHeight="1">
      <c r="A255" s="357"/>
      <c r="B255" s="357"/>
      <c r="C255" s="359"/>
      <c r="D255" s="138">
        <v>1</v>
      </c>
      <c r="E255" s="147">
        <v>1</v>
      </c>
      <c r="F255" s="147"/>
      <c r="G255" s="138">
        <v>1</v>
      </c>
      <c r="H255" s="55"/>
      <c r="I255" s="55"/>
      <c r="J255" s="139">
        <v>1931</v>
      </c>
      <c r="K255" s="139" t="s">
        <v>139</v>
      </c>
      <c r="L255" s="96">
        <v>26.34</v>
      </c>
      <c r="M255" s="140">
        <f t="shared" si="5"/>
        <v>566.3644151979197</v>
      </c>
    </row>
    <row r="256" spans="1:13" ht="15" customHeight="1">
      <c r="A256" s="357"/>
      <c r="B256" s="357"/>
      <c r="C256" s="359"/>
      <c r="D256" s="138">
        <v>1</v>
      </c>
      <c r="E256" s="147">
        <v>1</v>
      </c>
      <c r="F256" s="147"/>
      <c r="G256" s="138">
        <v>1</v>
      </c>
      <c r="H256" s="55"/>
      <c r="I256" s="55"/>
      <c r="J256" s="139">
        <v>1931</v>
      </c>
      <c r="K256" s="139" t="s">
        <v>139</v>
      </c>
      <c r="L256" s="96">
        <v>114.48</v>
      </c>
      <c r="M256" s="140">
        <f t="shared" si="5"/>
        <v>2461.556501589136</v>
      </c>
    </row>
    <row r="257" spans="1:13" ht="15" customHeight="1">
      <c r="A257" s="357"/>
      <c r="B257" s="357"/>
      <c r="C257" s="359"/>
      <c r="D257" s="138">
        <v>1</v>
      </c>
      <c r="E257" s="147"/>
      <c r="F257" s="147">
        <v>1</v>
      </c>
      <c r="G257" s="138">
        <v>1</v>
      </c>
      <c r="H257" s="55"/>
      <c r="I257" s="55"/>
      <c r="J257" s="139">
        <v>1935</v>
      </c>
      <c r="K257" s="139" t="s">
        <v>139</v>
      </c>
      <c r="L257" s="96">
        <v>307.3</v>
      </c>
      <c r="M257" s="140">
        <f t="shared" si="5"/>
        <v>6607.58484397573</v>
      </c>
    </row>
    <row r="258" spans="1:13" ht="15" customHeight="1">
      <c r="A258" s="357"/>
      <c r="B258" s="357"/>
      <c r="C258" s="359"/>
      <c r="D258" s="138">
        <v>1</v>
      </c>
      <c r="E258" s="147">
        <v>1</v>
      </c>
      <c r="F258" s="147"/>
      <c r="G258" s="138">
        <v>1</v>
      </c>
      <c r="H258" s="55"/>
      <c r="I258" s="55"/>
      <c r="J258" s="139">
        <v>1927</v>
      </c>
      <c r="K258" s="139" t="s">
        <v>139</v>
      </c>
      <c r="L258" s="96">
        <v>85.17</v>
      </c>
      <c r="M258" s="140">
        <f t="shared" si="5"/>
        <v>1831.3309507367815</v>
      </c>
    </row>
    <row r="259" spans="1:13" ht="15" customHeight="1">
      <c r="A259" s="357"/>
      <c r="B259" s="357"/>
      <c r="C259" s="359"/>
      <c r="D259" s="138">
        <v>1</v>
      </c>
      <c r="E259" s="147">
        <v>1</v>
      </c>
      <c r="F259" s="147"/>
      <c r="G259" s="138">
        <v>1</v>
      </c>
      <c r="H259" s="55"/>
      <c r="I259" s="55"/>
      <c r="J259" s="97">
        <v>1929</v>
      </c>
      <c r="K259" s="139" t="s">
        <v>139</v>
      </c>
      <c r="L259" s="96">
        <v>4.47</v>
      </c>
      <c r="M259" s="140">
        <f t="shared" si="5"/>
        <v>96.11423446980642</v>
      </c>
    </row>
    <row r="260" spans="1:13" ht="15" customHeight="1">
      <c r="A260" s="357"/>
      <c r="B260" s="362"/>
      <c r="C260" s="359"/>
      <c r="D260" s="138">
        <v>1</v>
      </c>
      <c r="E260" s="147">
        <v>1</v>
      </c>
      <c r="F260" s="147"/>
      <c r="G260" s="138">
        <v>1</v>
      </c>
      <c r="H260" s="55"/>
      <c r="I260" s="55"/>
      <c r="J260" s="139">
        <v>1927</v>
      </c>
      <c r="K260" s="139" t="s">
        <v>138</v>
      </c>
      <c r="L260" s="96">
        <v>18.1</v>
      </c>
      <c r="M260" s="140">
        <f t="shared" si="5"/>
        <v>389.1873923721468</v>
      </c>
    </row>
    <row r="261" spans="1:13" ht="15" customHeight="1">
      <c r="A261" s="357"/>
      <c r="B261" s="357"/>
      <c r="C261" s="359"/>
      <c r="D261" s="138">
        <v>1</v>
      </c>
      <c r="E261" s="147"/>
      <c r="F261" s="147">
        <v>1</v>
      </c>
      <c r="G261" s="138">
        <v>1</v>
      </c>
      <c r="H261" s="55"/>
      <c r="I261" s="55"/>
      <c r="J261" s="97">
        <v>1933</v>
      </c>
      <c r="K261" s="139" t="s">
        <v>139</v>
      </c>
      <c r="L261" s="96">
        <v>36.85</v>
      </c>
      <c r="M261" s="140">
        <f t="shared" si="5"/>
        <v>792.3511275642878</v>
      </c>
    </row>
    <row r="262" spans="1:13" ht="15" customHeight="1">
      <c r="A262" s="357"/>
      <c r="B262" s="362"/>
      <c r="C262" s="359"/>
      <c r="D262" s="138">
        <v>1</v>
      </c>
      <c r="E262" s="147"/>
      <c r="F262" s="147">
        <v>1</v>
      </c>
      <c r="G262" s="138">
        <v>1</v>
      </c>
      <c r="H262" s="55"/>
      <c r="I262" s="55"/>
      <c r="J262" s="139">
        <v>1921</v>
      </c>
      <c r="K262" s="139" t="s">
        <v>138</v>
      </c>
      <c r="L262" s="96">
        <v>11.27</v>
      </c>
      <c r="M262" s="140">
        <f t="shared" si="5"/>
        <v>242.32828243282287</v>
      </c>
    </row>
    <row r="263" spans="1:13" ht="15" customHeight="1">
      <c r="A263" s="357"/>
      <c r="B263" s="357"/>
      <c r="C263" s="359"/>
      <c r="D263" s="138">
        <v>1</v>
      </c>
      <c r="E263" s="147"/>
      <c r="F263" s="147">
        <v>1</v>
      </c>
      <c r="G263" s="138">
        <v>1</v>
      </c>
      <c r="H263" s="55"/>
      <c r="I263" s="55"/>
      <c r="J263" s="139">
        <v>1940</v>
      </c>
      <c r="K263" s="139" t="s">
        <v>139</v>
      </c>
      <c r="L263" s="96">
        <v>37.65</v>
      </c>
      <c r="M263" s="140">
        <f t="shared" si="5"/>
        <v>809.5527802658191</v>
      </c>
    </row>
    <row r="264" spans="1:13" ht="15" customHeight="1">
      <c r="A264" s="357"/>
      <c r="B264" s="357"/>
      <c r="C264" s="359"/>
      <c r="D264" s="138">
        <v>1</v>
      </c>
      <c r="E264" s="147">
        <v>1</v>
      </c>
      <c r="F264" s="147"/>
      <c r="G264" s="138">
        <v>1</v>
      </c>
      <c r="H264" s="55"/>
      <c r="I264" s="55"/>
      <c r="J264" s="139">
        <v>1943</v>
      </c>
      <c r="K264" s="139" t="s">
        <v>139</v>
      </c>
      <c r="L264" s="96">
        <v>55.4</v>
      </c>
      <c r="M264" s="140">
        <f t="shared" si="5"/>
        <v>1191.214449581046</v>
      </c>
    </row>
    <row r="265" spans="1:15" s="87" customFormat="1" ht="15" customHeight="1">
      <c r="A265" s="374" t="s">
        <v>96</v>
      </c>
      <c r="B265" s="374"/>
      <c r="C265" s="84"/>
      <c r="D265" s="143">
        <f>SUM(D215:D264)</f>
        <v>50</v>
      </c>
      <c r="E265" s="143">
        <f>SUM(E215:E264)</f>
        <v>23</v>
      </c>
      <c r="F265" s="143">
        <f>SUM(F215:F264)</f>
        <v>27</v>
      </c>
      <c r="G265" s="143">
        <f>SUM(G215:G264)</f>
        <v>50</v>
      </c>
      <c r="H265" s="143">
        <f>SUM(H215:H264)</f>
        <v>0</v>
      </c>
      <c r="I265" s="143"/>
      <c r="J265" s="143"/>
      <c r="K265" s="143"/>
      <c r="L265" s="84">
        <f>SUM(L215:L264)</f>
        <v>4153.239999999999</v>
      </c>
      <c r="M265" s="144">
        <f>1807.99+87494.39</f>
        <v>89302.38</v>
      </c>
      <c r="N265" s="145"/>
      <c r="O265" s="87" t="s">
        <v>88</v>
      </c>
    </row>
    <row r="266" spans="1:16" s="87" customFormat="1" ht="15" customHeight="1">
      <c r="A266" s="381" t="s">
        <v>81</v>
      </c>
      <c r="B266" s="381"/>
      <c r="C266" s="48"/>
      <c r="D266" s="48"/>
      <c r="E266" s="48"/>
      <c r="F266" s="48"/>
      <c r="G266" s="48"/>
      <c r="H266" s="48"/>
      <c r="I266" s="48"/>
      <c r="J266" s="48"/>
      <c r="K266" s="48"/>
      <c r="L266" s="48"/>
      <c r="M266" s="48"/>
      <c r="N266" s="131"/>
      <c r="O266" s="132"/>
      <c r="P266" s="133"/>
    </row>
    <row r="267" spans="1:32" s="136" customFormat="1" ht="44.25" customHeight="1">
      <c r="A267" s="52" t="s">
        <v>2</v>
      </c>
      <c r="B267" s="52" t="s">
        <v>1</v>
      </c>
      <c r="C267" s="52" t="s">
        <v>3</v>
      </c>
      <c r="D267" s="52" t="s">
        <v>120</v>
      </c>
      <c r="E267" s="52" t="s">
        <v>90</v>
      </c>
      <c r="F267" s="52" t="s">
        <v>91</v>
      </c>
      <c r="G267" s="52" t="s">
        <v>140</v>
      </c>
      <c r="H267" s="52" t="s">
        <v>127</v>
      </c>
      <c r="I267" s="52" t="s">
        <v>159</v>
      </c>
      <c r="J267" s="52" t="s">
        <v>119</v>
      </c>
      <c r="K267" s="52" t="s">
        <v>137</v>
      </c>
      <c r="L267" s="52" t="s">
        <v>173</v>
      </c>
      <c r="M267" s="52" t="s">
        <v>19</v>
      </c>
      <c r="N267" s="134"/>
      <c r="O267" s="134"/>
      <c r="P267" s="135"/>
      <c r="Q267" s="135"/>
      <c r="R267" s="135"/>
      <c r="S267" s="135"/>
      <c r="T267" s="135"/>
      <c r="U267" s="135"/>
      <c r="V267" s="135"/>
      <c r="W267" s="135"/>
      <c r="X267" s="135"/>
      <c r="Y267" s="135"/>
      <c r="Z267" s="135"/>
      <c r="AA267" s="135"/>
      <c r="AB267" s="135"/>
      <c r="AC267" s="135"/>
      <c r="AD267" s="135"/>
      <c r="AE267" s="135"/>
      <c r="AF267" s="135"/>
    </row>
    <row r="268" spans="1:13" ht="15" customHeight="1">
      <c r="A268" s="363"/>
      <c r="B268" s="357"/>
      <c r="C268" s="323"/>
      <c r="D268" s="138">
        <v>1</v>
      </c>
      <c r="E268" s="146"/>
      <c r="F268" s="146">
        <v>1</v>
      </c>
      <c r="G268" s="138">
        <v>1</v>
      </c>
      <c r="H268" s="146"/>
      <c r="I268" s="146"/>
      <c r="J268" s="139">
        <v>1930</v>
      </c>
      <c r="K268" s="139" t="s">
        <v>139</v>
      </c>
      <c r="L268" s="150">
        <v>4</v>
      </c>
      <c r="M268" s="151">
        <f>46956.87/2307*L268</f>
        <v>81.41633289986997</v>
      </c>
    </row>
    <row r="269" spans="1:13" ht="15" customHeight="1">
      <c r="A269" s="363"/>
      <c r="B269" s="357"/>
      <c r="C269" s="323"/>
      <c r="D269" s="138">
        <v>1</v>
      </c>
      <c r="E269" s="146"/>
      <c r="F269" s="146">
        <v>1</v>
      </c>
      <c r="G269" s="138">
        <v>1</v>
      </c>
      <c r="H269" s="146"/>
      <c r="I269" s="146"/>
      <c r="J269" s="139">
        <v>1922</v>
      </c>
      <c r="K269" s="139" t="s">
        <v>139</v>
      </c>
      <c r="L269" s="150">
        <v>7.6</v>
      </c>
      <c r="M269" s="151">
        <f aca="true" t="shared" si="6" ref="M269:M305">46956.87/2307*L269</f>
        <v>154.69103250975294</v>
      </c>
    </row>
    <row r="270" spans="1:13" ht="15" customHeight="1">
      <c r="A270" s="363"/>
      <c r="B270" s="357"/>
      <c r="C270" s="323"/>
      <c r="D270" s="138">
        <v>1</v>
      </c>
      <c r="E270" s="146">
        <v>1</v>
      </c>
      <c r="F270" s="146"/>
      <c r="G270" s="138">
        <v>1</v>
      </c>
      <c r="H270" s="146"/>
      <c r="I270" s="152"/>
      <c r="J270" s="139">
        <v>1935</v>
      </c>
      <c r="K270" s="139" t="s">
        <v>139</v>
      </c>
      <c r="L270" s="150">
        <v>197.72</v>
      </c>
      <c r="M270" s="151">
        <f t="shared" si="6"/>
        <v>4024.4093352405725</v>
      </c>
    </row>
    <row r="271" spans="1:13" ht="15" customHeight="1">
      <c r="A271" s="363"/>
      <c r="B271" s="357"/>
      <c r="C271" s="323"/>
      <c r="D271" s="138">
        <v>1</v>
      </c>
      <c r="E271" s="146">
        <v>1</v>
      </c>
      <c r="F271" s="146"/>
      <c r="G271" s="138">
        <v>1</v>
      </c>
      <c r="H271" s="146"/>
      <c r="I271" s="152"/>
      <c r="J271" s="139">
        <v>1945</v>
      </c>
      <c r="K271" s="139" t="s">
        <v>139</v>
      </c>
      <c r="L271" s="150">
        <v>21.12</v>
      </c>
      <c r="M271" s="151">
        <f t="shared" si="6"/>
        <v>429.8782377113135</v>
      </c>
    </row>
    <row r="272" spans="1:13" ht="15" customHeight="1">
      <c r="A272" s="363"/>
      <c r="B272" s="357"/>
      <c r="C272" s="323"/>
      <c r="D272" s="138">
        <v>1</v>
      </c>
      <c r="E272" s="146">
        <v>1</v>
      </c>
      <c r="F272" s="146"/>
      <c r="G272" s="138">
        <v>1</v>
      </c>
      <c r="H272" s="146"/>
      <c r="I272" s="152"/>
      <c r="J272" s="139">
        <v>1934</v>
      </c>
      <c r="K272" s="139" t="s">
        <v>139</v>
      </c>
      <c r="L272" s="150">
        <v>84.7</v>
      </c>
      <c r="M272" s="151">
        <f t="shared" si="6"/>
        <v>1723.9908491547467</v>
      </c>
    </row>
    <row r="273" spans="1:13" ht="15" customHeight="1">
      <c r="A273" s="363"/>
      <c r="B273" s="357"/>
      <c r="C273" s="323"/>
      <c r="D273" s="138">
        <v>1</v>
      </c>
      <c r="E273" s="146">
        <v>1</v>
      </c>
      <c r="F273" s="146"/>
      <c r="G273" s="138">
        <v>1</v>
      </c>
      <c r="H273" s="146"/>
      <c r="I273" s="152"/>
      <c r="J273" s="139">
        <v>1928</v>
      </c>
      <c r="K273" s="139" t="s">
        <v>138</v>
      </c>
      <c r="L273" s="150">
        <v>5.7</v>
      </c>
      <c r="M273" s="151">
        <f t="shared" si="6"/>
        <v>116.01827438231471</v>
      </c>
    </row>
    <row r="274" spans="1:13" ht="15" customHeight="1">
      <c r="A274" s="363"/>
      <c r="B274" s="357"/>
      <c r="C274" s="323"/>
      <c r="D274" s="138">
        <v>1</v>
      </c>
      <c r="E274" s="146">
        <v>1</v>
      </c>
      <c r="F274" s="146"/>
      <c r="G274" s="138">
        <v>1</v>
      </c>
      <c r="H274" s="146"/>
      <c r="I274" s="152"/>
      <c r="J274" s="139">
        <v>1927</v>
      </c>
      <c r="K274" s="139" t="s">
        <v>139</v>
      </c>
      <c r="L274" s="150">
        <v>17.42</v>
      </c>
      <c r="M274" s="151">
        <f t="shared" si="6"/>
        <v>354.5681297789338</v>
      </c>
    </row>
    <row r="275" spans="1:13" ht="15" customHeight="1">
      <c r="A275" s="363"/>
      <c r="B275" s="357"/>
      <c r="C275" s="323"/>
      <c r="D275" s="138">
        <v>1</v>
      </c>
      <c r="E275" s="146"/>
      <c r="F275" s="146">
        <v>1</v>
      </c>
      <c r="G275" s="138">
        <v>1</v>
      </c>
      <c r="H275" s="146"/>
      <c r="I275" s="152"/>
      <c r="J275" s="139">
        <v>1926</v>
      </c>
      <c r="K275" s="139" t="s">
        <v>139</v>
      </c>
      <c r="L275" s="150">
        <v>5.05</v>
      </c>
      <c r="M275" s="151">
        <f t="shared" si="6"/>
        <v>102.78812028608583</v>
      </c>
    </row>
    <row r="276" spans="1:13" ht="15" customHeight="1">
      <c r="A276" s="363"/>
      <c r="B276" s="357"/>
      <c r="C276" s="323"/>
      <c r="D276" s="138">
        <v>1</v>
      </c>
      <c r="E276" s="146">
        <v>1</v>
      </c>
      <c r="F276" s="146"/>
      <c r="G276" s="138">
        <v>1</v>
      </c>
      <c r="H276" s="146"/>
      <c r="I276" s="152"/>
      <c r="J276" s="139">
        <v>1962</v>
      </c>
      <c r="K276" s="139" t="s">
        <v>138</v>
      </c>
      <c r="L276" s="150">
        <v>3</v>
      </c>
      <c r="M276" s="151">
        <f t="shared" si="6"/>
        <v>61.062249674902475</v>
      </c>
    </row>
    <row r="277" spans="1:13" ht="15" customHeight="1">
      <c r="A277" s="363"/>
      <c r="B277" s="357"/>
      <c r="C277" s="323"/>
      <c r="D277" s="138">
        <v>1</v>
      </c>
      <c r="E277" s="146">
        <v>1</v>
      </c>
      <c r="F277" s="146"/>
      <c r="G277" s="138">
        <v>1</v>
      </c>
      <c r="H277" s="146"/>
      <c r="I277" s="152"/>
      <c r="J277" s="139">
        <v>1932</v>
      </c>
      <c r="K277" s="139" t="s">
        <v>139</v>
      </c>
      <c r="L277" s="150">
        <v>70.8</v>
      </c>
      <c r="M277" s="151">
        <f t="shared" si="6"/>
        <v>1441.0690923276984</v>
      </c>
    </row>
    <row r="278" spans="1:13" ht="15" customHeight="1">
      <c r="A278" s="363"/>
      <c r="B278" s="357"/>
      <c r="C278" s="323"/>
      <c r="D278" s="138">
        <v>1</v>
      </c>
      <c r="E278" s="146">
        <v>1</v>
      </c>
      <c r="F278" s="146"/>
      <c r="G278" s="138">
        <v>1</v>
      </c>
      <c r="H278" s="146"/>
      <c r="I278" s="152"/>
      <c r="J278" s="139">
        <v>1927</v>
      </c>
      <c r="K278" s="139" t="s">
        <v>139</v>
      </c>
      <c r="L278" s="150">
        <v>292.06</v>
      </c>
      <c r="M278" s="151">
        <f t="shared" si="6"/>
        <v>5944.613546684006</v>
      </c>
    </row>
    <row r="279" spans="1:13" ht="15" customHeight="1">
      <c r="A279" s="363"/>
      <c r="B279" s="357"/>
      <c r="C279" s="323"/>
      <c r="D279" s="138"/>
      <c r="E279" s="146"/>
      <c r="F279" s="146"/>
      <c r="G279" s="138"/>
      <c r="H279" s="146"/>
      <c r="I279" s="152"/>
      <c r="J279" s="139">
        <v>1927</v>
      </c>
      <c r="K279" s="139" t="s">
        <v>138</v>
      </c>
      <c r="L279" s="150">
        <v>10</v>
      </c>
      <c r="M279" s="151">
        <f t="shared" si="6"/>
        <v>203.54083224967493</v>
      </c>
    </row>
    <row r="280" spans="1:13" ht="15" customHeight="1">
      <c r="A280" s="363"/>
      <c r="B280" s="357"/>
      <c r="C280" s="323"/>
      <c r="D280" s="138">
        <v>1</v>
      </c>
      <c r="E280" s="146">
        <v>1</v>
      </c>
      <c r="F280" s="146"/>
      <c r="G280" s="138">
        <v>1</v>
      </c>
      <c r="H280" s="146"/>
      <c r="I280" s="152"/>
      <c r="J280" s="139">
        <v>1942</v>
      </c>
      <c r="K280" s="139" t="s">
        <v>139</v>
      </c>
      <c r="L280" s="150">
        <v>4</v>
      </c>
      <c r="M280" s="151">
        <f t="shared" si="6"/>
        <v>81.41633289986997</v>
      </c>
    </row>
    <row r="281" spans="1:13" ht="15" customHeight="1">
      <c r="A281" s="363"/>
      <c r="B281" s="357"/>
      <c r="C281" s="323"/>
      <c r="D281" s="138">
        <v>1</v>
      </c>
      <c r="E281" s="146"/>
      <c r="F281" s="146">
        <v>1</v>
      </c>
      <c r="G281" s="138">
        <v>1</v>
      </c>
      <c r="H281" s="146"/>
      <c r="I281" s="152"/>
      <c r="J281" s="139">
        <v>1915</v>
      </c>
      <c r="K281" s="139" t="s">
        <v>139</v>
      </c>
      <c r="L281" s="150">
        <v>50.72</v>
      </c>
      <c r="M281" s="151">
        <f t="shared" si="6"/>
        <v>1032.3591011703513</v>
      </c>
    </row>
    <row r="282" spans="1:13" ht="15" customHeight="1">
      <c r="A282" s="363"/>
      <c r="B282" s="357"/>
      <c r="C282" s="323"/>
      <c r="D282" s="138">
        <v>1</v>
      </c>
      <c r="E282" s="146">
        <v>1</v>
      </c>
      <c r="F282" s="146"/>
      <c r="G282" s="138">
        <v>1</v>
      </c>
      <c r="H282" s="146"/>
      <c r="I282" s="152"/>
      <c r="J282" s="139">
        <v>1931</v>
      </c>
      <c r="K282" s="139" t="s">
        <v>139</v>
      </c>
      <c r="L282" s="150">
        <v>76.1</v>
      </c>
      <c r="M282" s="151">
        <f t="shared" si="6"/>
        <v>1548.945733420026</v>
      </c>
    </row>
    <row r="283" spans="1:13" ht="15" customHeight="1">
      <c r="A283" s="363"/>
      <c r="B283" s="357"/>
      <c r="C283" s="323"/>
      <c r="D283" s="138">
        <v>1</v>
      </c>
      <c r="E283" s="146"/>
      <c r="F283" s="146">
        <v>1</v>
      </c>
      <c r="G283" s="138">
        <v>1</v>
      </c>
      <c r="H283" s="146"/>
      <c r="I283" s="152"/>
      <c r="J283" s="139">
        <v>1938</v>
      </c>
      <c r="K283" s="139" t="s">
        <v>139</v>
      </c>
      <c r="L283" s="150">
        <v>10.56</v>
      </c>
      <c r="M283" s="151">
        <f t="shared" si="6"/>
        <v>214.93911885565674</v>
      </c>
    </row>
    <row r="284" spans="1:13" ht="15" customHeight="1">
      <c r="A284" s="363"/>
      <c r="B284" s="357"/>
      <c r="C284" s="323"/>
      <c r="D284" s="138">
        <v>1</v>
      </c>
      <c r="E284" s="146"/>
      <c r="F284" s="146">
        <v>1</v>
      </c>
      <c r="G284" s="138">
        <v>1</v>
      </c>
      <c r="H284" s="146"/>
      <c r="I284" s="152"/>
      <c r="J284" s="139">
        <v>1921</v>
      </c>
      <c r="K284" s="139" t="s">
        <v>139</v>
      </c>
      <c r="L284" s="150">
        <v>107.78</v>
      </c>
      <c r="M284" s="151">
        <f t="shared" si="6"/>
        <v>2193.7630899869964</v>
      </c>
    </row>
    <row r="285" spans="1:13" ht="15" customHeight="1">
      <c r="A285" s="363"/>
      <c r="B285" s="357"/>
      <c r="C285" s="323"/>
      <c r="D285" s="138">
        <v>1</v>
      </c>
      <c r="E285" s="146"/>
      <c r="F285" s="146">
        <v>1</v>
      </c>
      <c r="G285" s="138">
        <v>1</v>
      </c>
      <c r="H285" s="146"/>
      <c r="I285" s="152"/>
      <c r="J285" s="139">
        <v>1919</v>
      </c>
      <c r="K285" s="139" t="s">
        <v>139</v>
      </c>
      <c r="L285" s="150">
        <v>68.58</v>
      </c>
      <c r="M285" s="151">
        <f t="shared" si="6"/>
        <v>1395.8830275682706</v>
      </c>
    </row>
    <row r="286" spans="1:13" ht="15" customHeight="1">
      <c r="A286" s="363"/>
      <c r="B286" s="357"/>
      <c r="C286" s="323"/>
      <c r="D286" s="138">
        <v>1</v>
      </c>
      <c r="E286" s="146"/>
      <c r="F286" s="146">
        <v>1</v>
      </c>
      <c r="G286" s="138">
        <v>1</v>
      </c>
      <c r="H286" s="146"/>
      <c r="I286" s="152"/>
      <c r="J286" s="139">
        <v>1921</v>
      </c>
      <c r="K286" s="139" t="s">
        <v>139</v>
      </c>
      <c r="L286" s="150">
        <v>85.28</v>
      </c>
      <c r="M286" s="151">
        <f t="shared" si="6"/>
        <v>1735.7962174252277</v>
      </c>
    </row>
    <row r="287" spans="1:13" ht="15" customHeight="1">
      <c r="A287" s="363"/>
      <c r="B287" s="357"/>
      <c r="C287" s="323"/>
      <c r="D287" s="138">
        <v>1</v>
      </c>
      <c r="E287" s="146"/>
      <c r="F287" s="146">
        <v>1</v>
      </c>
      <c r="G287" s="138">
        <v>1</v>
      </c>
      <c r="H287" s="146"/>
      <c r="I287" s="152"/>
      <c r="J287" s="139">
        <v>1927</v>
      </c>
      <c r="K287" s="139" t="s">
        <v>139</v>
      </c>
      <c r="L287" s="150">
        <v>86.49</v>
      </c>
      <c r="M287" s="151">
        <f t="shared" si="6"/>
        <v>1760.4246581274383</v>
      </c>
    </row>
    <row r="288" spans="1:13" ht="15" customHeight="1">
      <c r="A288" s="363"/>
      <c r="B288" s="357"/>
      <c r="C288" s="323"/>
      <c r="D288" s="138">
        <v>1</v>
      </c>
      <c r="E288" s="146">
        <v>1</v>
      </c>
      <c r="F288" s="146"/>
      <c r="G288" s="138">
        <v>1</v>
      </c>
      <c r="H288" s="146"/>
      <c r="I288" s="152"/>
      <c r="J288" s="139">
        <v>1922</v>
      </c>
      <c r="K288" s="139" t="s">
        <v>139</v>
      </c>
      <c r="L288" s="150">
        <v>18.95</v>
      </c>
      <c r="M288" s="151">
        <f t="shared" si="6"/>
        <v>385.709877113134</v>
      </c>
    </row>
    <row r="289" spans="1:13" ht="15" customHeight="1">
      <c r="A289" s="363"/>
      <c r="B289" s="357"/>
      <c r="C289" s="323"/>
      <c r="D289" s="138">
        <v>1</v>
      </c>
      <c r="E289" s="146"/>
      <c r="F289" s="146">
        <v>1</v>
      </c>
      <c r="G289" s="138">
        <v>1</v>
      </c>
      <c r="H289" s="146"/>
      <c r="I289" s="152"/>
      <c r="J289" s="139">
        <v>1936</v>
      </c>
      <c r="K289" s="139" t="s">
        <v>139</v>
      </c>
      <c r="L289" s="150">
        <v>5</v>
      </c>
      <c r="M289" s="151">
        <f t="shared" si="6"/>
        <v>101.77041612483747</v>
      </c>
    </row>
    <row r="290" spans="1:13" ht="15" customHeight="1">
      <c r="A290" s="363"/>
      <c r="B290" s="357"/>
      <c r="C290" s="323"/>
      <c r="D290" s="138">
        <v>1</v>
      </c>
      <c r="E290" s="146"/>
      <c r="F290" s="146">
        <v>1</v>
      </c>
      <c r="G290" s="138">
        <v>1</v>
      </c>
      <c r="H290" s="146"/>
      <c r="I290" s="152"/>
      <c r="J290" s="139">
        <v>1923</v>
      </c>
      <c r="K290" s="139" t="s">
        <v>139</v>
      </c>
      <c r="L290" s="150">
        <v>34.07</v>
      </c>
      <c r="M290" s="151">
        <f t="shared" si="6"/>
        <v>693.4636154746424</v>
      </c>
    </row>
    <row r="291" spans="1:13" ht="15" customHeight="1">
      <c r="A291" s="363"/>
      <c r="B291" s="357"/>
      <c r="C291" s="323"/>
      <c r="D291" s="138">
        <v>1</v>
      </c>
      <c r="E291" s="146"/>
      <c r="F291" s="146">
        <v>1</v>
      </c>
      <c r="G291" s="138">
        <v>1</v>
      </c>
      <c r="H291" s="146"/>
      <c r="I291" s="146"/>
      <c r="J291" s="139">
        <v>1925</v>
      </c>
      <c r="K291" s="139" t="s">
        <v>139</v>
      </c>
      <c r="L291" s="150">
        <v>13.3</v>
      </c>
      <c r="M291" s="151">
        <f t="shared" si="6"/>
        <v>270.7093068920677</v>
      </c>
    </row>
    <row r="292" spans="1:13" ht="15" customHeight="1">
      <c r="A292" s="363"/>
      <c r="B292" s="357"/>
      <c r="C292" s="323"/>
      <c r="D292" s="138">
        <v>1</v>
      </c>
      <c r="E292" s="146">
        <v>1</v>
      </c>
      <c r="F292" s="146"/>
      <c r="G292" s="138">
        <v>1</v>
      </c>
      <c r="H292" s="146"/>
      <c r="I292" s="146"/>
      <c r="J292" s="139">
        <v>1933</v>
      </c>
      <c r="K292" s="139" t="s">
        <v>139</v>
      </c>
      <c r="L292" s="150">
        <v>87.63</v>
      </c>
      <c r="M292" s="151">
        <f t="shared" si="6"/>
        <v>1783.6283130039012</v>
      </c>
    </row>
    <row r="293" spans="1:13" ht="15" customHeight="1">
      <c r="A293" s="363"/>
      <c r="B293" s="357"/>
      <c r="C293" s="323"/>
      <c r="D293" s="138">
        <v>1</v>
      </c>
      <c r="E293" s="146"/>
      <c r="F293" s="146">
        <v>1</v>
      </c>
      <c r="G293" s="138">
        <v>1</v>
      </c>
      <c r="H293" s="146"/>
      <c r="I293" s="146"/>
      <c r="J293" s="139">
        <v>1929</v>
      </c>
      <c r="K293" s="139" t="s">
        <v>139</v>
      </c>
      <c r="L293" s="150">
        <v>299.63</v>
      </c>
      <c r="M293" s="151">
        <f t="shared" si="6"/>
        <v>6098.6939566970095</v>
      </c>
    </row>
    <row r="294" spans="1:13" ht="15" customHeight="1">
      <c r="A294" s="363"/>
      <c r="B294" s="357"/>
      <c r="C294" s="323"/>
      <c r="D294" s="138">
        <v>1</v>
      </c>
      <c r="E294" s="146">
        <v>1</v>
      </c>
      <c r="F294" s="146"/>
      <c r="G294" s="138">
        <v>1</v>
      </c>
      <c r="H294" s="146"/>
      <c r="I294" s="146"/>
      <c r="J294" s="139">
        <v>1940</v>
      </c>
      <c r="K294" s="139" t="s">
        <v>139</v>
      </c>
      <c r="L294" s="150">
        <v>85.05</v>
      </c>
      <c r="M294" s="151">
        <f t="shared" si="6"/>
        <v>1731.1147782834853</v>
      </c>
    </row>
    <row r="295" spans="1:13" ht="15" customHeight="1">
      <c r="A295" s="363"/>
      <c r="B295" s="357"/>
      <c r="C295" s="323"/>
      <c r="D295" s="138">
        <v>1</v>
      </c>
      <c r="E295" s="146">
        <v>1</v>
      </c>
      <c r="F295" s="146"/>
      <c r="G295" s="138">
        <v>1</v>
      </c>
      <c r="H295" s="146"/>
      <c r="I295" s="146"/>
      <c r="J295" s="139">
        <v>1935</v>
      </c>
      <c r="K295" s="139" t="s">
        <v>139</v>
      </c>
      <c r="L295" s="150">
        <v>29.45</v>
      </c>
      <c r="M295" s="151">
        <f t="shared" si="6"/>
        <v>599.4277509752926</v>
      </c>
    </row>
    <row r="296" spans="1:13" ht="15" customHeight="1">
      <c r="A296" s="363"/>
      <c r="B296" s="357"/>
      <c r="C296" s="323"/>
      <c r="D296" s="138">
        <v>1</v>
      </c>
      <c r="E296" s="146"/>
      <c r="F296" s="146">
        <v>1</v>
      </c>
      <c r="G296" s="138">
        <v>1</v>
      </c>
      <c r="H296" s="146"/>
      <c r="I296" s="146"/>
      <c r="J296" s="139">
        <v>1951</v>
      </c>
      <c r="K296" s="139" t="s">
        <v>138</v>
      </c>
      <c r="L296" s="150">
        <f>23.02+22.56</f>
        <v>45.58</v>
      </c>
      <c r="M296" s="151">
        <f t="shared" si="6"/>
        <v>927.7391133940183</v>
      </c>
    </row>
    <row r="297" spans="1:13" ht="15" customHeight="1">
      <c r="A297" s="363"/>
      <c r="B297" s="357"/>
      <c r="C297" s="323"/>
      <c r="D297" s="138">
        <v>1</v>
      </c>
      <c r="E297" s="146"/>
      <c r="F297" s="146">
        <v>1</v>
      </c>
      <c r="G297" s="138">
        <v>1</v>
      </c>
      <c r="H297" s="146"/>
      <c r="I297" s="146"/>
      <c r="J297" s="139">
        <v>1947</v>
      </c>
      <c r="K297" s="139" t="s">
        <v>139</v>
      </c>
      <c r="L297" s="150">
        <v>0.95</v>
      </c>
      <c r="M297" s="151">
        <f t="shared" si="6"/>
        <v>19.336379063719118</v>
      </c>
    </row>
    <row r="298" spans="1:13" ht="15" customHeight="1">
      <c r="A298" s="363"/>
      <c r="B298" s="357"/>
      <c r="C298" s="323"/>
      <c r="D298" s="138">
        <v>1</v>
      </c>
      <c r="E298" s="146"/>
      <c r="F298" s="146">
        <v>1</v>
      </c>
      <c r="G298" s="138">
        <v>1</v>
      </c>
      <c r="H298" s="146"/>
      <c r="I298" s="146"/>
      <c r="J298" s="139">
        <v>1935</v>
      </c>
      <c r="K298" s="139" t="s">
        <v>139</v>
      </c>
      <c r="L298" s="150">
        <v>45.03</v>
      </c>
      <c r="M298" s="151">
        <f t="shared" si="6"/>
        <v>916.5443676202863</v>
      </c>
    </row>
    <row r="299" spans="1:13" ht="15" customHeight="1">
      <c r="A299" s="363"/>
      <c r="B299" s="357"/>
      <c r="C299" s="323"/>
      <c r="D299" s="138">
        <v>1</v>
      </c>
      <c r="E299" s="146">
        <v>1</v>
      </c>
      <c r="F299" s="146"/>
      <c r="G299" s="138">
        <v>1</v>
      </c>
      <c r="H299" s="146"/>
      <c r="I299" s="146"/>
      <c r="J299" s="139">
        <v>1928</v>
      </c>
      <c r="K299" s="139" t="s">
        <v>139</v>
      </c>
      <c r="L299" s="150">
        <v>267.26</v>
      </c>
      <c r="M299" s="151">
        <f t="shared" si="6"/>
        <v>5439.832282704812</v>
      </c>
    </row>
    <row r="300" spans="1:13" ht="15" customHeight="1">
      <c r="A300" s="363"/>
      <c r="B300" s="357"/>
      <c r="C300" s="323"/>
      <c r="D300" s="138">
        <v>1</v>
      </c>
      <c r="E300" s="146">
        <v>1</v>
      </c>
      <c r="F300" s="146"/>
      <c r="G300" s="138">
        <v>1</v>
      </c>
      <c r="H300" s="146"/>
      <c r="I300" s="146"/>
      <c r="J300" s="139">
        <v>1927</v>
      </c>
      <c r="K300" s="139" t="s">
        <v>139</v>
      </c>
      <c r="L300" s="150">
        <v>9.45</v>
      </c>
      <c r="M300" s="151">
        <f t="shared" si="6"/>
        <v>192.3460864759428</v>
      </c>
    </row>
    <row r="301" spans="1:13" ht="15" customHeight="1">
      <c r="A301" s="363"/>
      <c r="B301" s="357"/>
      <c r="C301" s="323"/>
      <c r="D301" s="138">
        <v>1</v>
      </c>
      <c r="E301" s="146">
        <v>1</v>
      </c>
      <c r="F301" s="146"/>
      <c r="G301" s="138">
        <v>1</v>
      </c>
      <c r="H301" s="146"/>
      <c r="I301" s="146"/>
      <c r="J301" s="139">
        <v>1923</v>
      </c>
      <c r="K301" s="139" t="s">
        <v>139</v>
      </c>
      <c r="L301" s="150">
        <v>68.99</v>
      </c>
      <c r="M301" s="151">
        <f t="shared" si="6"/>
        <v>1404.2282016905071</v>
      </c>
    </row>
    <row r="302" spans="1:13" ht="15" customHeight="1">
      <c r="A302" s="363"/>
      <c r="B302" s="357"/>
      <c r="C302" s="323"/>
      <c r="D302" s="138">
        <v>1</v>
      </c>
      <c r="E302" s="146">
        <v>1</v>
      </c>
      <c r="F302" s="146"/>
      <c r="G302" s="138">
        <v>1</v>
      </c>
      <c r="H302" s="146"/>
      <c r="I302" s="146"/>
      <c r="J302" s="139">
        <v>1960</v>
      </c>
      <c r="K302" s="139" t="s">
        <v>138</v>
      </c>
      <c r="L302" s="150">
        <v>4</v>
      </c>
      <c r="M302" s="151">
        <f t="shared" si="6"/>
        <v>81.41633289986997</v>
      </c>
    </row>
    <row r="303" spans="1:13" ht="15" customHeight="1">
      <c r="A303" s="363"/>
      <c r="B303" s="357"/>
      <c r="C303" s="323"/>
      <c r="D303" s="138">
        <v>1</v>
      </c>
      <c r="E303" s="146">
        <v>1</v>
      </c>
      <c r="F303" s="146"/>
      <c r="G303" s="138">
        <v>1</v>
      </c>
      <c r="H303" s="146"/>
      <c r="I303" s="146"/>
      <c r="J303" s="139">
        <v>1973</v>
      </c>
      <c r="K303" s="139" t="s">
        <v>138</v>
      </c>
      <c r="L303" s="150">
        <v>4</v>
      </c>
      <c r="M303" s="151">
        <f t="shared" si="6"/>
        <v>81.41633289986997</v>
      </c>
    </row>
    <row r="304" spans="1:13" ht="15" customHeight="1">
      <c r="A304" s="363"/>
      <c r="B304" s="357"/>
      <c r="C304" s="323"/>
      <c r="D304" s="138">
        <v>1</v>
      </c>
      <c r="E304" s="146"/>
      <c r="F304" s="146">
        <v>1</v>
      </c>
      <c r="G304" s="138">
        <v>1</v>
      </c>
      <c r="H304" s="146"/>
      <c r="I304" s="146"/>
      <c r="J304" s="139">
        <v>1935</v>
      </c>
      <c r="K304" s="139" t="s">
        <v>139</v>
      </c>
      <c r="L304" s="150">
        <v>4</v>
      </c>
      <c r="M304" s="151">
        <f t="shared" si="6"/>
        <v>81.41633289986997</v>
      </c>
    </row>
    <row r="305" spans="1:13" ht="15" customHeight="1">
      <c r="A305" s="363"/>
      <c r="B305" s="357"/>
      <c r="C305" s="323"/>
      <c r="D305" s="138">
        <v>1</v>
      </c>
      <c r="E305" s="146"/>
      <c r="F305" s="146">
        <v>1</v>
      </c>
      <c r="G305" s="138">
        <v>1</v>
      </c>
      <c r="H305" s="146"/>
      <c r="I305" s="146"/>
      <c r="J305" s="139">
        <v>1922</v>
      </c>
      <c r="K305" s="139" t="s">
        <v>139</v>
      </c>
      <c r="L305" s="150">
        <v>76.06</v>
      </c>
      <c r="M305" s="151">
        <f t="shared" si="6"/>
        <v>1548.1315700910275</v>
      </c>
    </row>
    <row r="306" spans="1:14" s="87" customFormat="1" ht="15" customHeight="1">
      <c r="A306" s="374" t="s">
        <v>97</v>
      </c>
      <c r="B306" s="374"/>
      <c r="C306" s="84"/>
      <c r="D306" s="143">
        <f>SUM(D268:D305)</f>
        <v>37</v>
      </c>
      <c r="E306" s="143">
        <f>SUM(E268:E305)</f>
        <v>19</v>
      </c>
      <c r="F306" s="143">
        <f>SUM(F268:F305)</f>
        <v>18</v>
      </c>
      <c r="G306" s="143">
        <f>SUM(G268:G305)</f>
        <v>37</v>
      </c>
      <c r="H306" s="143">
        <f>SUM(H268:H305)</f>
        <v>0</v>
      </c>
      <c r="I306" s="143"/>
      <c r="J306" s="143"/>
      <c r="K306" s="143"/>
      <c r="L306" s="84">
        <f>SUM(L268:L305)</f>
        <v>2307.0799999999995</v>
      </c>
      <c r="M306" s="144">
        <f>13756.96+33199.91</f>
        <v>46956.87</v>
      </c>
      <c r="N306" s="145" t="s">
        <v>7</v>
      </c>
    </row>
    <row r="307" spans="1:16" s="87" customFormat="1" ht="15" customHeight="1">
      <c r="A307" s="381" t="s">
        <v>82</v>
      </c>
      <c r="B307" s="381"/>
      <c r="C307" s="48"/>
      <c r="D307" s="48"/>
      <c r="E307" s="48"/>
      <c r="F307" s="48"/>
      <c r="G307" s="48"/>
      <c r="H307" s="48"/>
      <c r="I307" s="48"/>
      <c r="J307" s="48"/>
      <c r="K307" s="48"/>
      <c r="L307" s="48"/>
      <c r="M307" s="48"/>
      <c r="N307" s="131"/>
      <c r="O307" s="132"/>
      <c r="P307" s="133"/>
    </row>
    <row r="308" spans="1:32" s="136" customFormat="1" ht="44.25" customHeight="1">
      <c r="A308" s="52" t="s">
        <v>2</v>
      </c>
      <c r="B308" s="52" t="s">
        <v>1</v>
      </c>
      <c r="C308" s="52" t="s">
        <v>3</v>
      </c>
      <c r="D308" s="52" t="s">
        <v>120</v>
      </c>
      <c r="E308" s="52" t="s">
        <v>90</v>
      </c>
      <c r="F308" s="52" t="s">
        <v>91</v>
      </c>
      <c r="G308" s="52" t="s">
        <v>140</v>
      </c>
      <c r="H308" s="52" t="s">
        <v>127</v>
      </c>
      <c r="I308" s="52" t="s">
        <v>159</v>
      </c>
      <c r="J308" s="52" t="s">
        <v>119</v>
      </c>
      <c r="K308" s="52" t="s">
        <v>137</v>
      </c>
      <c r="L308" s="52" t="s">
        <v>173</v>
      </c>
      <c r="M308" s="52" t="s">
        <v>19</v>
      </c>
      <c r="N308" s="134"/>
      <c r="O308" s="134"/>
      <c r="P308" s="135"/>
      <c r="Q308" s="135"/>
      <c r="R308" s="135"/>
      <c r="S308" s="135"/>
      <c r="T308" s="135"/>
      <c r="U308" s="135"/>
      <c r="V308" s="135"/>
      <c r="W308" s="135"/>
      <c r="X308" s="135"/>
      <c r="Y308" s="135"/>
      <c r="Z308" s="135"/>
      <c r="AA308" s="135"/>
      <c r="AB308" s="135"/>
      <c r="AC308" s="135"/>
      <c r="AD308" s="135"/>
      <c r="AE308" s="135"/>
      <c r="AF308" s="135"/>
    </row>
    <row r="309" spans="1:13" ht="15" customHeight="1">
      <c r="A309" s="357"/>
      <c r="B309" s="357"/>
      <c r="C309" s="364"/>
      <c r="D309" s="138">
        <v>1</v>
      </c>
      <c r="E309" s="146">
        <v>1</v>
      </c>
      <c r="F309" s="146"/>
      <c r="G309" s="138">
        <v>1</v>
      </c>
      <c r="H309" s="146"/>
      <c r="I309" s="146"/>
      <c r="J309" s="139">
        <v>1934</v>
      </c>
      <c r="K309" s="139" t="s">
        <v>138</v>
      </c>
      <c r="L309" s="153">
        <v>70.96</v>
      </c>
      <c r="M309" s="140">
        <f>53510.24/2660.9*L309</f>
        <v>1426.993359540005</v>
      </c>
    </row>
    <row r="310" spans="1:13" ht="15" customHeight="1">
      <c r="A310" s="357"/>
      <c r="B310" s="357"/>
      <c r="C310" s="364"/>
      <c r="D310" s="138">
        <v>1</v>
      </c>
      <c r="E310" s="146">
        <v>1</v>
      </c>
      <c r="F310" s="146"/>
      <c r="G310" s="138">
        <v>1</v>
      </c>
      <c r="H310" s="146"/>
      <c r="I310" s="146"/>
      <c r="J310" s="139">
        <v>1932</v>
      </c>
      <c r="K310" s="139" t="s">
        <v>139</v>
      </c>
      <c r="L310" s="153">
        <v>42.33</v>
      </c>
      <c r="M310" s="140">
        <f aca="true" t="shared" si="7" ref="M310:M342">53510.24/2660.9*L310</f>
        <v>851.2489981585177</v>
      </c>
    </row>
    <row r="311" spans="1:13" ht="15" customHeight="1">
      <c r="A311" s="357"/>
      <c r="B311" s="357"/>
      <c r="C311" s="364"/>
      <c r="D311" s="138">
        <v>1</v>
      </c>
      <c r="E311" s="146">
        <v>1</v>
      </c>
      <c r="F311" s="146"/>
      <c r="G311" s="138">
        <v>1</v>
      </c>
      <c r="H311" s="146"/>
      <c r="I311" s="146"/>
      <c r="J311" s="139">
        <v>1951</v>
      </c>
      <c r="K311" s="139" t="s">
        <v>138</v>
      </c>
      <c r="L311" s="153">
        <v>176.05</v>
      </c>
      <c r="M311" s="140">
        <f t="shared" si="7"/>
        <v>3540.3351317223496</v>
      </c>
    </row>
    <row r="312" spans="1:13" ht="15" customHeight="1">
      <c r="A312" s="357"/>
      <c r="B312" s="357"/>
      <c r="C312" s="364"/>
      <c r="D312" s="138">
        <v>1</v>
      </c>
      <c r="E312" s="146">
        <v>1</v>
      </c>
      <c r="F312" s="146"/>
      <c r="G312" s="138">
        <v>1</v>
      </c>
      <c r="H312" s="146"/>
      <c r="I312" s="146"/>
      <c r="J312" s="139">
        <v>1926</v>
      </c>
      <c r="K312" s="139" t="s">
        <v>139</v>
      </c>
      <c r="L312" s="153">
        <v>29.83</v>
      </c>
      <c r="M312" s="140">
        <f t="shared" si="7"/>
        <v>599.876154383855</v>
      </c>
    </row>
    <row r="313" spans="1:13" ht="15" customHeight="1">
      <c r="A313" s="357"/>
      <c r="B313" s="357"/>
      <c r="C313" s="364"/>
      <c r="D313" s="138">
        <v>1</v>
      </c>
      <c r="E313" s="147"/>
      <c r="F313" s="147">
        <v>1</v>
      </c>
      <c r="G313" s="138">
        <v>1</v>
      </c>
      <c r="H313" s="146"/>
      <c r="I313" s="146"/>
      <c r="J313" s="139">
        <v>1917</v>
      </c>
      <c r="K313" s="139" t="s">
        <v>139</v>
      </c>
      <c r="L313" s="153">
        <v>55.24</v>
      </c>
      <c r="M313" s="140">
        <f t="shared" si="7"/>
        <v>1110.8668712089893</v>
      </c>
    </row>
    <row r="314" spans="1:13" ht="15" customHeight="1">
      <c r="A314" s="357"/>
      <c r="B314" s="357"/>
      <c r="C314" s="364"/>
      <c r="D314" s="138">
        <v>1</v>
      </c>
      <c r="E314" s="147"/>
      <c r="F314" s="147">
        <v>1</v>
      </c>
      <c r="G314" s="138">
        <v>1</v>
      </c>
      <c r="H314" s="146"/>
      <c r="I314" s="146"/>
      <c r="J314" s="139">
        <v>1923</v>
      </c>
      <c r="K314" s="139" t="s">
        <v>138</v>
      </c>
      <c r="L314" s="153">
        <v>64.34</v>
      </c>
      <c r="M314" s="140">
        <f t="shared" si="7"/>
        <v>1293.8663014769438</v>
      </c>
    </row>
    <row r="315" spans="1:13" ht="15" customHeight="1">
      <c r="A315" s="357"/>
      <c r="B315" s="357"/>
      <c r="C315" s="364"/>
      <c r="D315" s="138">
        <v>1</v>
      </c>
      <c r="E315" s="147">
        <v>1</v>
      </c>
      <c r="F315" s="147"/>
      <c r="G315" s="138">
        <v>1</v>
      </c>
      <c r="H315" s="146"/>
      <c r="I315" s="146"/>
      <c r="J315" s="139">
        <v>1932</v>
      </c>
      <c r="K315" s="139" t="s">
        <v>138</v>
      </c>
      <c r="L315" s="153">
        <v>56.8</v>
      </c>
      <c r="M315" s="140">
        <f t="shared" si="7"/>
        <v>1142.2382021120673</v>
      </c>
    </row>
    <row r="316" spans="1:13" ht="15" customHeight="1">
      <c r="A316" s="357"/>
      <c r="B316" s="357"/>
      <c r="C316" s="364"/>
      <c r="D316" s="138">
        <v>1</v>
      </c>
      <c r="E316" s="147"/>
      <c r="F316" s="147">
        <v>1</v>
      </c>
      <c r="G316" s="138">
        <v>1</v>
      </c>
      <c r="H316" s="146"/>
      <c r="I316" s="146"/>
      <c r="J316" s="139">
        <v>1959</v>
      </c>
      <c r="K316" s="139" t="s">
        <v>138</v>
      </c>
      <c r="L316" s="153">
        <v>38.33</v>
      </c>
      <c r="M316" s="140">
        <f t="shared" si="7"/>
        <v>770.8096881506257</v>
      </c>
    </row>
    <row r="317" spans="1:13" ht="15" customHeight="1">
      <c r="A317" s="357"/>
      <c r="B317" s="357"/>
      <c r="C317" s="364"/>
      <c r="D317" s="138">
        <v>1</v>
      </c>
      <c r="E317" s="147"/>
      <c r="F317" s="147">
        <v>1</v>
      </c>
      <c r="G317" s="138">
        <v>1</v>
      </c>
      <c r="H317" s="146"/>
      <c r="I317" s="146"/>
      <c r="J317" s="139">
        <v>1955</v>
      </c>
      <c r="K317" s="139" t="s">
        <v>139</v>
      </c>
      <c r="L317" s="153">
        <v>24.57</v>
      </c>
      <c r="M317" s="140">
        <f t="shared" si="7"/>
        <v>494.098461723477</v>
      </c>
    </row>
    <row r="318" spans="1:13" ht="15" customHeight="1">
      <c r="A318" s="357"/>
      <c r="B318" s="357"/>
      <c r="C318" s="364"/>
      <c r="D318" s="138">
        <v>1</v>
      </c>
      <c r="E318" s="147">
        <v>1</v>
      </c>
      <c r="F318" s="147"/>
      <c r="G318" s="138">
        <v>1</v>
      </c>
      <c r="H318" s="146"/>
      <c r="I318" s="146"/>
      <c r="J318" s="139">
        <v>1925</v>
      </c>
      <c r="K318" s="139" t="s">
        <v>138</v>
      </c>
      <c r="L318" s="153">
        <v>43.05</v>
      </c>
      <c r="M318" s="140">
        <f t="shared" si="7"/>
        <v>865.7280739599382</v>
      </c>
    </row>
    <row r="319" spans="1:13" ht="15" customHeight="1">
      <c r="A319" s="357"/>
      <c r="B319" s="357"/>
      <c r="C319" s="364"/>
      <c r="D319" s="138">
        <v>1</v>
      </c>
      <c r="E319" s="147">
        <v>1</v>
      </c>
      <c r="F319" s="147"/>
      <c r="G319" s="138">
        <v>1</v>
      </c>
      <c r="H319" s="146"/>
      <c r="I319" s="146"/>
      <c r="J319" s="139">
        <v>1924</v>
      </c>
      <c r="K319" s="139" t="s">
        <v>139</v>
      </c>
      <c r="L319" s="153">
        <v>6.93</v>
      </c>
      <c r="M319" s="140">
        <f t="shared" si="7"/>
        <v>139.361104588673</v>
      </c>
    </row>
    <row r="320" spans="1:13" ht="15" customHeight="1">
      <c r="A320" s="357"/>
      <c r="B320" s="357"/>
      <c r="C320" s="364"/>
      <c r="D320" s="138">
        <v>1</v>
      </c>
      <c r="E320" s="147">
        <v>1</v>
      </c>
      <c r="F320" s="147"/>
      <c r="G320" s="138">
        <v>1</v>
      </c>
      <c r="H320" s="146"/>
      <c r="I320" s="146"/>
      <c r="J320" s="139">
        <v>1926</v>
      </c>
      <c r="K320" s="139" t="s">
        <v>139</v>
      </c>
      <c r="L320" s="153">
        <f>361.39-30</f>
        <v>331.39</v>
      </c>
      <c r="M320" s="140">
        <f t="shared" si="7"/>
        <v>6664.195735878838</v>
      </c>
    </row>
    <row r="321" spans="1:13" ht="15" customHeight="1">
      <c r="A321" s="357"/>
      <c r="B321" s="357"/>
      <c r="C321" s="364"/>
      <c r="D321" s="138">
        <v>1</v>
      </c>
      <c r="E321" s="147"/>
      <c r="F321" s="147">
        <v>1</v>
      </c>
      <c r="G321" s="138">
        <v>1</v>
      </c>
      <c r="H321" s="146"/>
      <c r="I321" s="146"/>
      <c r="J321" s="139">
        <v>1926</v>
      </c>
      <c r="K321" s="139" t="s">
        <v>139</v>
      </c>
      <c r="L321" s="153">
        <v>43.61</v>
      </c>
      <c r="M321" s="140">
        <f t="shared" si="7"/>
        <v>876.9895773610432</v>
      </c>
    </row>
    <row r="322" spans="1:13" ht="15" customHeight="1">
      <c r="A322" s="357"/>
      <c r="B322" s="357"/>
      <c r="C322" s="364"/>
      <c r="D322" s="138">
        <v>1</v>
      </c>
      <c r="E322" s="147">
        <v>1</v>
      </c>
      <c r="F322" s="147"/>
      <c r="G322" s="138">
        <v>1</v>
      </c>
      <c r="H322" s="146"/>
      <c r="I322" s="146"/>
      <c r="J322" s="139">
        <v>1919</v>
      </c>
      <c r="K322" s="139" t="s">
        <v>139</v>
      </c>
      <c r="L322" s="153">
        <v>195.31</v>
      </c>
      <c r="M322" s="140">
        <f t="shared" si="7"/>
        <v>3927.6504094103498</v>
      </c>
    </row>
    <row r="323" spans="1:13" ht="15" customHeight="1">
      <c r="A323" s="357"/>
      <c r="B323" s="357"/>
      <c r="C323" s="364"/>
      <c r="D323" s="138">
        <v>1</v>
      </c>
      <c r="E323" s="147"/>
      <c r="F323" s="147">
        <v>1</v>
      </c>
      <c r="G323" s="138">
        <v>1</v>
      </c>
      <c r="H323" s="146"/>
      <c r="I323" s="146"/>
      <c r="J323" s="139">
        <v>1930</v>
      </c>
      <c r="K323" s="139" t="s">
        <v>139</v>
      </c>
      <c r="L323" s="153">
        <v>54.2</v>
      </c>
      <c r="M323" s="140">
        <f t="shared" si="7"/>
        <v>1089.9526506069376</v>
      </c>
    </row>
    <row r="324" spans="1:13" ht="15" customHeight="1">
      <c r="A324" s="357"/>
      <c r="B324" s="357"/>
      <c r="C324" s="364"/>
      <c r="D324" s="138">
        <v>1</v>
      </c>
      <c r="E324" s="147">
        <v>1</v>
      </c>
      <c r="F324" s="147"/>
      <c r="G324" s="138">
        <v>1</v>
      </c>
      <c r="H324" s="146"/>
      <c r="I324" s="146"/>
      <c r="J324" s="139">
        <v>1934</v>
      </c>
      <c r="K324" s="139" t="s">
        <v>139</v>
      </c>
      <c r="L324" s="153">
        <v>45</v>
      </c>
      <c r="M324" s="140">
        <f t="shared" si="7"/>
        <v>904.9422375887857</v>
      </c>
    </row>
    <row r="325" spans="1:13" ht="15" customHeight="1">
      <c r="A325" s="357"/>
      <c r="B325" s="357"/>
      <c r="C325" s="364"/>
      <c r="D325" s="138">
        <v>1</v>
      </c>
      <c r="E325" s="147"/>
      <c r="F325" s="147">
        <v>1</v>
      </c>
      <c r="G325" s="138">
        <v>1</v>
      </c>
      <c r="H325" s="146"/>
      <c r="I325" s="146"/>
      <c r="J325" s="139">
        <v>1921</v>
      </c>
      <c r="K325" s="139" t="s">
        <v>138</v>
      </c>
      <c r="L325" s="153">
        <v>44.68</v>
      </c>
      <c r="M325" s="140">
        <f t="shared" si="7"/>
        <v>898.5070927881543</v>
      </c>
    </row>
    <row r="326" spans="1:13" ht="15" customHeight="1">
      <c r="A326" s="357"/>
      <c r="B326" s="357"/>
      <c r="C326" s="364"/>
      <c r="D326" s="138">
        <v>1</v>
      </c>
      <c r="E326" s="147"/>
      <c r="F326" s="147">
        <v>1</v>
      </c>
      <c r="G326" s="138">
        <v>1</v>
      </c>
      <c r="H326" s="146"/>
      <c r="I326" s="146"/>
      <c r="J326" s="139">
        <v>1918</v>
      </c>
      <c r="K326" s="139" t="s">
        <v>139</v>
      </c>
      <c r="L326" s="153">
        <v>1.12</v>
      </c>
      <c r="M326" s="140">
        <f t="shared" si="7"/>
        <v>22.52300680220978</v>
      </c>
    </row>
    <row r="327" spans="1:13" ht="15" customHeight="1">
      <c r="A327" s="357"/>
      <c r="B327" s="357"/>
      <c r="C327" s="364"/>
      <c r="D327" s="138">
        <v>1</v>
      </c>
      <c r="E327" s="147"/>
      <c r="F327" s="147">
        <v>1</v>
      </c>
      <c r="G327" s="138">
        <v>1</v>
      </c>
      <c r="H327" s="146"/>
      <c r="I327" s="146"/>
      <c r="J327" s="139">
        <v>1927</v>
      </c>
      <c r="K327" s="139" t="s">
        <v>139</v>
      </c>
      <c r="L327" s="153">
        <v>10.72</v>
      </c>
      <c r="M327" s="140">
        <f t="shared" si="7"/>
        <v>215.57735082115073</v>
      </c>
    </row>
    <row r="328" spans="1:13" ht="15" customHeight="1">
      <c r="A328" s="357"/>
      <c r="B328" s="357"/>
      <c r="C328" s="364"/>
      <c r="D328" s="138">
        <v>1</v>
      </c>
      <c r="E328" s="147"/>
      <c r="F328" s="147">
        <v>1</v>
      </c>
      <c r="G328" s="138">
        <v>1</v>
      </c>
      <c r="H328" s="146"/>
      <c r="I328" s="146"/>
      <c r="J328" s="139">
        <v>1943</v>
      </c>
      <c r="K328" s="139" t="s">
        <v>139</v>
      </c>
      <c r="L328" s="153">
        <v>52.94</v>
      </c>
      <c r="M328" s="140">
        <f t="shared" si="7"/>
        <v>1064.6142679544514</v>
      </c>
    </row>
    <row r="329" spans="1:13" ht="15" customHeight="1">
      <c r="A329" s="357"/>
      <c r="B329" s="357"/>
      <c r="C329" s="364"/>
      <c r="D329" s="138">
        <v>1</v>
      </c>
      <c r="E329" s="147"/>
      <c r="F329" s="147">
        <v>1</v>
      </c>
      <c r="G329" s="138">
        <v>1</v>
      </c>
      <c r="H329" s="146"/>
      <c r="I329" s="146"/>
      <c r="J329" s="139">
        <v>1925</v>
      </c>
      <c r="K329" s="139" t="s">
        <v>139</v>
      </c>
      <c r="L329" s="153">
        <v>12.17</v>
      </c>
      <c r="M329" s="140">
        <f t="shared" si="7"/>
        <v>244.7366006990116</v>
      </c>
    </row>
    <row r="330" spans="1:13" ht="15" customHeight="1">
      <c r="A330" s="357"/>
      <c r="B330" s="357"/>
      <c r="C330" s="364"/>
      <c r="D330" s="138">
        <v>1</v>
      </c>
      <c r="E330" s="147">
        <v>1</v>
      </c>
      <c r="F330" s="147"/>
      <c r="G330" s="138">
        <v>1</v>
      </c>
      <c r="H330" s="146"/>
      <c r="I330" s="146"/>
      <c r="J330" s="139">
        <v>1934</v>
      </c>
      <c r="K330" s="139" t="s">
        <v>139</v>
      </c>
      <c r="L330" s="153">
        <v>28.06</v>
      </c>
      <c r="M330" s="140">
        <f t="shared" si="7"/>
        <v>564.2817597053628</v>
      </c>
    </row>
    <row r="331" spans="1:13" ht="15" customHeight="1">
      <c r="A331" s="357"/>
      <c r="B331" s="357"/>
      <c r="C331" s="364"/>
      <c r="D331" s="138">
        <v>1</v>
      </c>
      <c r="E331" s="147"/>
      <c r="F331" s="147">
        <v>1</v>
      </c>
      <c r="G331" s="138">
        <v>1</v>
      </c>
      <c r="H331" s="146"/>
      <c r="I331" s="146"/>
      <c r="J331" s="139">
        <v>1923</v>
      </c>
      <c r="K331" s="139" t="s">
        <v>139</v>
      </c>
      <c r="L331" s="153">
        <v>5.03</v>
      </c>
      <c r="M331" s="140">
        <f t="shared" si="7"/>
        <v>101.15243233492427</v>
      </c>
    </row>
    <row r="332" spans="1:13" ht="15" customHeight="1">
      <c r="A332" s="357"/>
      <c r="B332" s="357"/>
      <c r="C332" s="364"/>
      <c r="D332" s="138">
        <v>1</v>
      </c>
      <c r="E332" s="147">
        <v>1</v>
      </c>
      <c r="F332" s="147"/>
      <c r="G332" s="138">
        <v>1</v>
      </c>
      <c r="H332" s="146"/>
      <c r="I332" s="146"/>
      <c r="J332" s="139">
        <v>1930</v>
      </c>
      <c r="K332" s="139" t="s">
        <v>139</v>
      </c>
      <c r="L332" s="153">
        <v>29.89</v>
      </c>
      <c r="M332" s="140">
        <f t="shared" si="7"/>
        <v>601.0827440339734</v>
      </c>
    </row>
    <row r="333" spans="1:13" ht="15" customHeight="1">
      <c r="A333" s="357"/>
      <c r="B333" s="357"/>
      <c r="C333" s="364"/>
      <c r="D333" s="138">
        <v>1</v>
      </c>
      <c r="E333" s="147">
        <v>1</v>
      </c>
      <c r="F333" s="147"/>
      <c r="G333" s="138">
        <v>1</v>
      </c>
      <c r="H333" s="146"/>
      <c r="I333" s="146"/>
      <c r="J333" s="139">
        <v>1941</v>
      </c>
      <c r="K333" s="139" t="s">
        <v>139</v>
      </c>
      <c r="L333" s="153">
        <v>62</v>
      </c>
      <c r="M333" s="140">
        <f t="shared" si="7"/>
        <v>1246.809305122327</v>
      </c>
    </row>
    <row r="334" spans="1:13" ht="15" customHeight="1">
      <c r="A334" s="357"/>
      <c r="B334" s="357"/>
      <c r="C334" s="364"/>
      <c r="D334" s="138">
        <v>1</v>
      </c>
      <c r="E334" s="147"/>
      <c r="F334" s="147">
        <v>1</v>
      </c>
      <c r="G334" s="138">
        <v>1</v>
      </c>
      <c r="H334" s="146"/>
      <c r="I334" s="146"/>
      <c r="J334" s="139">
        <v>1916</v>
      </c>
      <c r="K334" s="139" t="s">
        <v>139</v>
      </c>
      <c r="L334" s="153">
        <v>257.16</v>
      </c>
      <c r="M334" s="140">
        <f t="shared" si="7"/>
        <v>5171.443240407381</v>
      </c>
    </row>
    <row r="335" spans="1:13" ht="15" customHeight="1">
      <c r="A335" s="357"/>
      <c r="B335" s="357"/>
      <c r="C335" s="364"/>
      <c r="D335" s="138">
        <v>1</v>
      </c>
      <c r="E335" s="147">
        <v>1</v>
      </c>
      <c r="F335" s="147"/>
      <c r="G335" s="138">
        <v>1</v>
      </c>
      <c r="H335" s="146"/>
      <c r="I335" s="146"/>
      <c r="J335" s="139">
        <v>1920</v>
      </c>
      <c r="K335" s="139" t="s">
        <v>138</v>
      </c>
      <c r="L335" s="153">
        <v>41.2</v>
      </c>
      <c r="M335" s="140">
        <f t="shared" si="7"/>
        <v>828.5248930812883</v>
      </c>
    </row>
    <row r="336" spans="1:13" ht="15" customHeight="1">
      <c r="A336" s="357"/>
      <c r="B336" s="357"/>
      <c r="C336" s="364"/>
      <c r="D336" s="138">
        <v>1</v>
      </c>
      <c r="E336" s="147">
        <v>1</v>
      </c>
      <c r="F336" s="147"/>
      <c r="G336" s="138">
        <v>1</v>
      </c>
      <c r="H336" s="146"/>
      <c r="I336" s="146"/>
      <c r="J336" s="139">
        <v>1936</v>
      </c>
      <c r="K336" s="139" t="s">
        <v>138</v>
      </c>
      <c r="L336" s="153">
        <v>143.69</v>
      </c>
      <c r="M336" s="140">
        <f t="shared" si="7"/>
        <v>2889.5811137585024</v>
      </c>
    </row>
    <row r="337" spans="1:13" ht="15" customHeight="1">
      <c r="A337" s="357"/>
      <c r="B337" s="357"/>
      <c r="C337" s="364"/>
      <c r="D337" s="138">
        <v>1</v>
      </c>
      <c r="E337" s="147"/>
      <c r="F337" s="147">
        <v>1</v>
      </c>
      <c r="G337" s="138">
        <v>1</v>
      </c>
      <c r="H337" s="146"/>
      <c r="I337" s="146"/>
      <c r="J337" s="139">
        <v>1935</v>
      </c>
      <c r="K337" s="139" t="s">
        <v>139</v>
      </c>
      <c r="L337" s="153">
        <v>5.57</v>
      </c>
      <c r="M337" s="140">
        <f t="shared" si="7"/>
        <v>112.0117391859897</v>
      </c>
    </row>
    <row r="338" spans="1:13" ht="15" customHeight="1">
      <c r="A338" s="357"/>
      <c r="B338" s="357"/>
      <c r="C338" s="364"/>
      <c r="D338" s="138">
        <v>1</v>
      </c>
      <c r="E338" s="147"/>
      <c r="F338" s="147">
        <v>1</v>
      </c>
      <c r="G338" s="138">
        <v>1</v>
      </c>
      <c r="H338" s="146"/>
      <c r="I338" s="146"/>
      <c r="J338" s="139">
        <v>1935</v>
      </c>
      <c r="K338" s="139" t="s">
        <v>139</v>
      </c>
      <c r="L338" s="153">
        <v>27.22</v>
      </c>
      <c r="M338" s="140">
        <f t="shared" si="7"/>
        <v>547.3895046037054</v>
      </c>
    </row>
    <row r="339" spans="1:13" ht="15" customHeight="1">
      <c r="A339" s="357"/>
      <c r="B339" s="357"/>
      <c r="C339" s="364"/>
      <c r="D339" s="138">
        <v>1</v>
      </c>
      <c r="E339" s="147">
        <v>1</v>
      </c>
      <c r="F339" s="147"/>
      <c r="G339" s="138">
        <v>1</v>
      </c>
      <c r="H339" s="146"/>
      <c r="I339" s="146"/>
      <c r="J339" s="139">
        <v>1926</v>
      </c>
      <c r="K339" s="139" t="s">
        <v>138</v>
      </c>
      <c r="L339" s="153">
        <v>35.4</v>
      </c>
      <c r="M339" s="140">
        <f t="shared" si="7"/>
        <v>711.8878935698447</v>
      </c>
    </row>
    <row r="340" spans="1:13" ht="15" customHeight="1">
      <c r="A340" s="357"/>
      <c r="B340" s="357"/>
      <c r="C340" s="364"/>
      <c r="D340" s="138">
        <v>1</v>
      </c>
      <c r="E340" s="147"/>
      <c r="F340" s="147">
        <v>1</v>
      </c>
      <c r="G340" s="138">
        <v>1</v>
      </c>
      <c r="H340" s="146"/>
      <c r="I340" s="146"/>
      <c r="J340" s="139">
        <v>1916</v>
      </c>
      <c r="K340" s="139" t="s">
        <v>138</v>
      </c>
      <c r="L340" s="153">
        <v>118.55</v>
      </c>
      <c r="M340" s="140">
        <f t="shared" si="7"/>
        <v>2384.020050358901</v>
      </c>
    </row>
    <row r="341" spans="1:13" ht="15" customHeight="1">
      <c r="A341" s="357"/>
      <c r="B341" s="357"/>
      <c r="C341" s="364"/>
      <c r="D341" s="138">
        <v>1</v>
      </c>
      <c r="E341" s="147">
        <v>1</v>
      </c>
      <c r="F341" s="147"/>
      <c r="G341" s="138">
        <v>1</v>
      </c>
      <c r="H341" s="146"/>
      <c r="I341" s="146"/>
      <c r="J341" s="139">
        <v>1935</v>
      </c>
      <c r="K341" s="139" t="s">
        <v>139</v>
      </c>
      <c r="L341" s="153">
        <f>440.53-50</f>
        <v>390.53</v>
      </c>
      <c r="M341" s="140">
        <f t="shared" si="7"/>
        <v>7853.490934345521</v>
      </c>
    </row>
    <row r="342" spans="1:13" ht="15" customHeight="1">
      <c r="A342" s="357"/>
      <c r="B342" s="357"/>
      <c r="C342" s="364"/>
      <c r="D342" s="138">
        <v>1</v>
      </c>
      <c r="E342" s="147"/>
      <c r="F342" s="147">
        <v>1</v>
      </c>
      <c r="G342" s="138">
        <v>1</v>
      </c>
      <c r="H342" s="146"/>
      <c r="I342" s="146"/>
      <c r="J342" s="139">
        <v>1931</v>
      </c>
      <c r="K342" s="139" t="s">
        <v>139</v>
      </c>
      <c r="L342" s="153">
        <v>117.01</v>
      </c>
      <c r="M342" s="140">
        <f t="shared" si="7"/>
        <v>2353.0509160058627</v>
      </c>
    </row>
    <row r="343" spans="1:13" s="87" customFormat="1" ht="15" customHeight="1">
      <c r="A343" s="374" t="s">
        <v>146</v>
      </c>
      <c r="B343" s="374"/>
      <c r="C343" s="84"/>
      <c r="D343" s="143">
        <f>SUM(D309:D342)</f>
        <v>34</v>
      </c>
      <c r="E343" s="143">
        <f>SUM(E309:E342)</f>
        <v>17</v>
      </c>
      <c r="F343" s="143">
        <f>SUM(F309:F342)</f>
        <v>17</v>
      </c>
      <c r="G343" s="143">
        <f>SUM(G309:G342)</f>
        <v>34</v>
      </c>
      <c r="H343" s="143">
        <f>SUM(H309:H342)</f>
        <v>0</v>
      </c>
      <c r="I343" s="143"/>
      <c r="J343" s="143"/>
      <c r="K343" s="143"/>
      <c r="L343" s="84">
        <f>SUM(L309:L342)</f>
        <v>2660.880000000001</v>
      </c>
      <c r="M343" s="144">
        <f>11120.2+42390.04</f>
        <v>53510.240000000005</v>
      </c>
    </row>
    <row r="344" spans="1:16" s="87" customFormat="1" ht="15" customHeight="1">
      <c r="A344" s="381" t="s">
        <v>83</v>
      </c>
      <c r="B344" s="381"/>
      <c r="C344" s="48"/>
      <c r="D344" s="48"/>
      <c r="E344" s="48"/>
      <c r="F344" s="48"/>
      <c r="G344" s="48"/>
      <c r="H344" s="48"/>
      <c r="I344" s="48"/>
      <c r="J344" s="48"/>
      <c r="K344" s="48"/>
      <c r="L344" s="48"/>
      <c r="M344" s="48"/>
      <c r="N344" s="131"/>
      <c r="O344" s="132"/>
      <c r="P344" s="133"/>
    </row>
    <row r="345" spans="1:32" s="136" customFormat="1" ht="44.25" customHeight="1">
      <c r="A345" s="52" t="s">
        <v>2</v>
      </c>
      <c r="B345" s="52" t="s">
        <v>1</v>
      </c>
      <c r="C345" s="52" t="s">
        <v>3</v>
      </c>
      <c r="D345" s="52" t="s">
        <v>120</v>
      </c>
      <c r="E345" s="52" t="s">
        <v>90</v>
      </c>
      <c r="F345" s="52" t="s">
        <v>91</v>
      </c>
      <c r="G345" s="52" t="s">
        <v>140</v>
      </c>
      <c r="H345" s="52" t="s">
        <v>127</v>
      </c>
      <c r="I345" s="52" t="s">
        <v>159</v>
      </c>
      <c r="J345" s="52" t="s">
        <v>119</v>
      </c>
      <c r="K345" s="52" t="s">
        <v>137</v>
      </c>
      <c r="L345" s="52" t="s">
        <v>173</v>
      </c>
      <c r="M345" s="52" t="s">
        <v>19</v>
      </c>
      <c r="N345" s="134"/>
      <c r="O345" s="134"/>
      <c r="P345" s="135"/>
      <c r="Q345" s="135"/>
      <c r="R345" s="135"/>
      <c r="S345" s="135"/>
      <c r="T345" s="135"/>
      <c r="U345" s="135"/>
      <c r="V345" s="135"/>
      <c r="W345" s="135"/>
      <c r="X345" s="135"/>
      <c r="Y345" s="135"/>
      <c r="Z345" s="135"/>
      <c r="AA345" s="135"/>
      <c r="AB345" s="135"/>
      <c r="AC345" s="135"/>
      <c r="AD345" s="135"/>
      <c r="AE345" s="135"/>
      <c r="AF345" s="135"/>
    </row>
    <row r="346" spans="1:13" ht="15" customHeight="1">
      <c r="A346" s="357"/>
      <c r="B346" s="357"/>
      <c r="C346" s="364"/>
      <c r="D346" s="138">
        <v>1</v>
      </c>
      <c r="E346" s="147"/>
      <c r="F346" s="147">
        <v>1</v>
      </c>
      <c r="G346" s="147">
        <v>1</v>
      </c>
      <c r="H346" s="55"/>
      <c r="I346" s="55"/>
      <c r="J346" s="139">
        <v>1917</v>
      </c>
      <c r="K346" s="139" t="s">
        <v>139</v>
      </c>
      <c r="L346" s="96">
        <v>143.75</v>
      </c>
      <c r="M346" s="140">
        <f>99004.86/4660*L346</f>
        <v>3054.0662285407725</v>
      </c>
    </row>
    <row r="347" spans="1:13" ht="15" customHeight="1">
      <c r="A347" s="357"/>
      <c r="B347" s="357"/>
      <c r="C347" s="364"/>
      <c r="D347" s="138">
        <v>1</v>
      </c>
      <c r="E347" s="147">
        <v>1</v>
      </c>
      <c r="F347" s="147"/>
      <c r="G347" s="147">
        <v>1</v>
      </c>
      <c r="H347" s="55"/>
      <c r="I347" s="55"/>
      <c r="J347" s="139">
        <v>1922</v>
      </c>
      <c r="K347" s="139" t="s">
        <v>139</v>
      </c>
      <c r="L347" s="96">
        <v>360.69</v>
      </c>
      <c r="M347" s="140">
        <f aca="true" t="shared" si="8" ref="M347:M410">99004.86/4660*L347</f>
        <v>7663.103638068669</v>
      </c>
    </row>
    <row r="348" spans="1:13" ht="15" customHeight="1">
      <c r="A348" s="365"/>
      <c r="B348" s="365"/>
      <c r="C348" s="364"/>
      <c r="D348" s="138">
        <v>1</v>
      </c>
      <c r="E348" s="146"/>
      <c r="F348" s="146">
        <v>1</v>
      </c>
      <c r="G348" s="147">
        <v>1</v>
      </c>
      <c r="H348" s="146"/>
      <c r="I348" s="146"/>
      <c r="J348" s="139">
        <v>1949</v>
      </c>
      <c r="K348" s="139" t="s">
        <v>138</v>
      </c>
      <c r="L348" s="96">
        <v>14.81</v>
      </c>
      <c r="M348" s="140">
        <f t="shared" si="8"/>
        <v>314.648492832618</v>
      </c>
    </row>
    <row r="349" spans="1:13" ht="15" customHeight="1">
      <c r="A349" s="357"/>
      <c r="B349" s="357"/>
      <c r="C349" s="364"/>
      <c r="D349" s="138">
        <v>1</v>
      </c>
      <c r="E349" s="147">
        <v>1</v>
      </c>
      <c r="F349" s="147"/>
      <c r="G349" s="147">
        <v>1</v>
      </c>
      <c r="H349" s="55"/>
      <c r="I349" s="55"/>
      <c r="J349" s="139">
        <v>1930</v>
      </c>
      <c r="K349" s="139" t="s">
        <v>139</v>
      </c>
      <c r="L349" s="96">
        <v>228.58</v>
      </c>
      <c r="M349" s="140">
        <f t="shared" si="8"/>
        <v>4856.337102746781</v>
      </c>
    </row>
    <row r="350" spans="1:13" ht="15" customHeight="1">
      <c r="A350" s="357"/>
      <c r="B350" s="357"/>
      <c r="C350" s="364"/>
      <c r="D350" s="138">
        <v>1</v>
      </c>
      <c r="E350" s="146"/>
      <c r="F350" s="146">
        <v>1</v>
      </c>
      <c r="G350" s="147">
        <v>1</v>
      </c>
      <c r="H350" s="146"/>
      <c r="I350" s="146"/>
      <c r="J350" s="139">
        <v>1936</v>
      </c>
      <c r="K350" s="139" t="s">
        <v>138</v>
      </c>
      <c r="L350" s="96">
        <v>306.7</v>
      </c>
      <c r="M350" s="140">
        <f t="shared" si="8"/>
        <v>6516.049476824033</v>
      </c>
    </row>
    <row r="351" spans="1:13" ht="15" customHeight="1">
      <c r="A351" s="365"/>
      <c r="B351" s="365"/>
      <c r="C351" s="364"/>
      <c r="D351" s="138">
        <v>1</v>
      </c>
      <c r="E351" s="146">
        <v>1</v>
      </c>
      <c r="F351" s="146"/>
      <c r="G351" s="147">
        <v>1</v>
      </c>
      <c r="H351" s="146"/>
      <c r="I351" s="146"/>
      <c r="J351" s="139">
        <v>1947</v>
      </c>
      <c r="K351" s="139" t="s">
        <v>138</v>
      </c>
      <c r="L351" s="96">
        <v>301.45</v>
      </c>
      <c r="M351" s="140">
        <f t="shared" si="8"/>
        <v>6404.509666738197</v>
      </c>
    </row>
    <row r="352" spans="1:13" ht="15" customHeight="1">
      <c r="A352" s="357"/>
      <c r="B352" s="357"/>
      <c r="C352" s="364"/>
      <c r="D352" s="138">
        <v>1</v>
      </c>
      <c r="E352" s="147"/>
      <c r="F352" s="147">
        <v>1</v>
      </c>
      <c r="G352" s="147">
        <v>1</v>
      </c>
      <c r="H352" s="55"/>
      <c r="I352" s="55"/>
      <c r="J352" s="139">
        <v>1925</v>
      </c>
      <c r="K352" s="139" t="s">
        <v>138</v>
      </c>
      <c r="L352" s="96">
        <v>211</v>
      </c>
      <c r="M352" s="140">
        <f t="shared" si="8"/>
        <v>4482.838081545064</v>
      </c>
    </row>
    <row r="353" spans="1:13" ht="15" customHeight="1">
      <c r="A353" s="357"/>
      <c r="B353" s="357"/>
      <c r="C353" s="364"/>
      <c r="D353" s="138">
        <v>1</v>
      </c>
      <c r="E353" s="147"/>
      <c r="F353" s="147">
        <v>1</v>
      </c>
      <c r="G353" s="147">
        <v>1</v>
      </c>
      <c r="H353" s="55"/>
      <c r="I353" s="55"/>
      <c r="J353" s="139">
        <v>1929</v>
      </c>
      <c r="K353" s="139" t="s">
        <v>138</v>
      </c>
      <c r="L353" s="96">
        <v>206.09</v>
      </c>
      <c r="M353" s="140">
        <f t="shared" si="8"/>
        <v>4378.521802017167</v>
      </c>
    </row>
    <row r="354" spans="1:13" ht="15" customHeight="1">
      <c r="A354" s="357"/>
      <c r="B354" s="357"/>
      <c r="C354" s="323"/>
      <c r="D354" s="138">
        <v>1</v>
      </c>
      <c r="E354" s="146">
        <v>1</v>
      </c>
      <c r="F354" s="146"/>
      <c r="G354" s="147">
        <v>1</v>
      </c>
      <c r="H354" s="146"/>
      <c r="I354" s="146"/>
      <c r="J354" s="139">
        <v>1924</v>
      </c>
      <c r="K354" s="139" t="s">
        <v>139</v>
      </c>
      <c r="L354" s="96">
        <v>204.42</v>
      </c>
      <c r="M354" s="140">
        <f t="shared" si="8"/>
        <v>4343.041519570815</v>
      </c>
    </row>
    <row r="355" spans="1:13" ht="15" customHeight="1">
      <c r="A355" s="357"/>
      <c r="B355" s="357"/>
      <c r="C355" s="364"/>
      <c r="D355" s="138">
        <v>1</v>
      </c>
      <c r="E355" s="147"/>
      <c r="F355" s="147">
        <v>1</v>
      </c>
      <c r="G355" s="147">
        <v>1</v>
      </c>
      <c r="H355" s="55"/>
      <c r="I355" s="55"/>
      <c r="J355" s="139">
        <v>1926</v>
      </c>
      <c r="K355" s="139" t="s">
        <v>139</v>
      </c>
      <c r="L355" s="96">
        <v>52.39</v>
      </c>
      <c r="M355" s="140">
        <f t="shared" si="8"/>
        <v>1113.0610762660945</v>
      </c>
    </row>
    <row r="356" spans="1:13" ht="15" customHeight="1">
      <c r="A356" s="357"/>
      <c r="B356" s="357"/>
      <c r="C356" s="364"/>
      <c r="D356" s="138">
        <v>1</v>
      </c>
      <c r="E356" s="147"/>
      <c r="F356" s="147">
        <v>1</v>
      </c>
      <c r="G356" s="147">
        <v>1</v>
      </c>
      <c r="H356" s="55"/>
      <c r="I356" s="55"/>
      <c r="J356" s="139">
        <v>1934</v>
      </c>
      <c r="K356" s="139" t="s">
        <v>139</v>
      </c>
      <c r="L356" s="96">
        <v>176.54</v>
      </c>
      <c r="M356" s="140">
        <f t="shared" si="8"/>
        <v>3750.712013819742</v>
      </c>
    </row>
    <row r="357" spans="1:13" ht="15" customHeight="1">
      <c r="A357" s="357"/>
      <c r="B357" s="318"/>
      <c r="C357" s="364"/>
      <c r="D357" s="138">
        <v>1</v>
      </c>
      <c r="E357" s="147">
        <v>1</v>
      </c>
      <c r="F357" s="147"/>
      <c r="G357" s="147">
        <v>1</v>
      </c>
      <c r="H357" s="55"/>
      <c r="I357" s="55"/>
      <c r="J357" s="139">
        <v>1922</v>
      </c>
      <c r="K357" s="139" t="s">
        <v>138</v>
      </c>
      <c r="L357" s="96">
        <v>158.57</v>
      </c>
      <c r="M357" s="140">
        <f t="shared" si="8"/>
        <v>3368.9271781545062</v>
      </c>
    </row>
    <row r="358" spans="1:13" ht="15" customHeight="1">
      <c r="A358" s="357"/>
      <c r="B358" s="357"/>
      <c r="C358" s="364"/>
      <c r="D358" s="138">
        <v>1</v>
      </c>
      <c r="E358" s="147"/>
      <c r="F358" s="147">
        <v>1</v>
      </c>
      <c r="G358" s="147">
        <v>1</v>
      </c>
      <c r="H358" s="55"/>
      <c r="I358" s="55"/>
      <c r="J358" s="139">
        <v>1924</v>
      </c>
      <c r="K358" s="139" t="s">
        <v>139</v>
      </c>
      <c r="L358" s="96">
        <v>132.12</v>
      </c>
      <c r="M358" s="140">
        <f t="shared" si="8"/>
        <v>2806.978992103004</v>
      </c>
    </row>
    <row r="359" spans="1:13" ht="15" customHeight="1">
      <c r="A359" s="357"/>
      <c r="B359" s="357"/>
      <c r="C359" s="364"/>
      <c r="D359" s="138">
        <v>1</v>
      </c>
      <c r="E359" s="147"/>
      <c r="F359" s="147">
        <v>1</v>
      </c>
      <c r="G359" s="147">
        <v>1</v>
      </c>
      <c r="H359" s="55"/>
      <c r="I359" s="55"/>
      <c r="J359" s="139">
        <v>1926</v>
      </c>
      <c r="K359" s="139" t="s">
        <v>138</v>
      </c>
      <c r="L359" s="96">
        <v>116.63</v>
      </c>
      <c r="M359" s="140">
        <f t="shared" si="8"/>
        <v>2477.883438154506</v>
      </c>
    </row>
    <row r="360" spans="1:13" ht="15" customHeight="1">
      <c r="A360" s="357"/>
      <c r="B360" s="357"/>
      <c r="C360" s="364"/>
      <c r="D360" s="138">
        <v>1</v>
      </c>
      <c r="E360" s="147"/>
      <c r="F360" s="147">
        <v>1</v>
      </c>
      <c r="G360" s="147">
        <v>1</v>
      </c>
      <c r="H360" s="55"/>
      <c r="I360" s="55"/>
      <c r="J360" s="139">
        <v>1923</v>
      </c>
      <c r="K360" s="139" t="s">
        <v>139</v>
      </c>
      <c r="L360" s="96">
        <v>120.6</v>
      </c>
      <c r="M360" s="140">
        <f t="shared" si="8"/>
        <v>2562.2287802575106</v>
      </c>
    </row>
    <row r="361" spans="1:13" ht="15" customHeight="1">
      <c r="A361" s="357"/>
      <c r="B361" s="357"/>
      <c r="C361" s="364"/>
      <c r="D361" s="138">
        <v>1</v>
      </c>
      <c r="E361" s="147"/>
      <c r="F361" s="147">
        <v>1</v>
      </c>
      <c r="G361" s="147">
        <v>1</v>
      </c>
      <c r="H361" s="55"/>
      <c r="I361" s="55"/>
      <c r="J361" s="139">
        <v>1944</v>
      </c>
      <c r="K361" s="139" t="s">
        <v>139</v>
      </c>
      <c r="L361" s="96">
        <v>111.24</v>
      </c>
      <c r="M361" s="140">
        <f t="shared" si="8"/>
        <v>2363.369233133047</v>
      </c>
    </row>
    <row r="362" spans="1:13" ht="15" customHeight="1">
      <c r="A362" s="357"/>
      <c r="B362" s="357"/>
      <c r="C362" s="364"/>
      <c r="D362" s="138">
        <v>1</v>
      </c>
      <c r="E362" s="147">
        <v>1</v>
      </c>
      <c r="F362" s="147"/>
      <c r="G362" s="147">
        <v>1</v>
      </c>
      <c r="H362" s="55"/>
      <c r="I362" s="55"/>
      <c r="J362" s="139">
        <v>1934</v>
      </c>
      <c r="K362" s="139" t="s">
        <v>139</v>
      </c>
      <c r="L362" s="96">
        <v>110.35</v>
      </c>
      <c r="M362" s="140">
        <f t="shared" si="8"/>
        <v>2344.4605796137334</v>
      </c>
    </row>
    <row r="363" spans="1:13" ht="15" customHeight="1">
      <c r="A363" s="357"/>
      <c r="B363" s="357"/>
      <c r="C363" s="364"/>
      <c r="D363" s="138">
        <v>1</v>
      </c>
      <c r="E363" s="147">
        <v>1</v>
      </c>
      <c r="F363" s="147"/>
      <c r="G363" s="147">
        <v>1</v>
      </c>
      <c r="H363" s="55"/>
      <c r="I363" s="55"/>
      <c r="J363" s="139">
        <v>1932</v>
      </c>
      <c r="K363" s="139" t="s">
        <v>139</v>
      </c>
      <c r="L363" s="96">
        <v>104.9</v>
      </c>
      <c r="M363" s="140">
        <f t="shared" si="8"/>
        <v>2228.6716339055793</v>
      </c>
    </row>
    <row r="364" spans="1:13" ht="15" customHeight="1">
      <c r="A364" s="357"/>
      <c r="B364" s="357"/>
      <c r="C364" s="364"/>
      <c r="D364" s="138">
        <v>1</v>
      </c>
      <c r="E364" s="147"/>
      <c r="F364" s="147">
        <v>1</v>
      </c>
      <c r="G364" s="147">
        <v>1</v>
      </c>
      <c r="H364" s="55"/>
      <c r="I364" s="55"/>
      <c r="J364" s="139">
        <v>1919</v>
      </c>
      <c r="K364" s="139" t="s">
        <v>138</v>
      </c>
      <c r="L364" s="96">
        <v>92.37</v>
      </c>
      <c r="M364" s="140">
        <f t="shared" si="8"/>
        <v>1962.4632871673818</v>
      </c>
    </row>
    <row r="365" spans="1:13" ht="15" customHeight="1">
      <c r="A365" s="357"/>
      <c r="B365" s="357"/>
      <c r="C365" s="364"/>
      <c r="D365" s="138">
        <v>1</v>
      </c>
      <c r="E365" s="147"/>
      <c r="F365" s="147">
        <v>1</v>
      </c>
      <c r="G365" s="147">
        <v>1</v>
      </c>
      <c r="H365" s="55"/>
      <c r="I365" s="55"/>
      <c r="J365" s="139">
        <v>1917</v>
      </c>
      <c r="K365" s="139" t="s">
        <v>139</v>
      </c>
      <c r="L365" s="96">
        <v>80.99</v>
      </c>
      <c r="M365" s="140">
        <f t="shared" si="8"/>
        <v>1720.6874702575105</v>
      </c>
    </row>
    <row r="366" spans="1:13" ht="15" customHeight="1">
      <c r="A366" s="357"/>
      <c r="B366" s="357"/>
      <c r="C366" s="364"/>
      <c r="D366" s="138">
        <v>1</v>
      </c>
      <c r="E366" s="147">
        <v>1</v>
      </c>
      <c r="F366" s="147"/>
      <c r="G366" s="147">
        <v>1</v>
      </c>
      <c r="H366" s="55"/>
      <c r="I366" s="55"/>
      <c r="J366" s="139">
        <v>1941</v>
      </c>
      <c r="K366" s="139" t="s">
        <v>138</v>
      </c>
      <c r="L366" s="96">
        <v>79.44</v>
      </c>
      <c r="M366" s="140">
        <f t="shared" si="8"/>
        <v>1687.756669184549</v>
      </c>
    </row>
    <row r="367" spans="1:13" ht="15" customHeight="1">
      <c r="A367" s="357"/>
      <c r="B367" s="357"/>
      <c r="C367" s="364"/>
      <c r="D367" s="138">
        <v>1</v>
      </c>
      <c r="E367" s="147"/>
      <c r="F367" s="147">
        <v>1</v>
      </c>
      <c r="G367" s="147">
        <v>1</v>
      </c>
      <c r="H367" s="55"/>
      <c r="I367" s="55"/>
      <c r="J367" s="139">
        <v>1932</v>
      </c>
      <c r="K367" s="139" t="s">
        <v>139</v>
      </c>
      <c r="L367" s="96">
        <v>76.17</v>
      </c>
      <c r="M367" s="140">
        <f t="shared" si="8"/>
        <v>1618.2833017596565</v>
      </c>
    </row>
    <row r="368" spans="1:13" ht="15" customHeight="1">
      <c r="A368" s="357"/>
      <c r="B368" s="357"/>
      <c r="C368" s="364"/>
      <c r="D368" s="138">
        <v>1</v>
      </c>
      <c r="E368" s="147"/>
      <c r="F368" s="147">
        <v>1</v>
      </c>
      <c r="G368" s="147">
        <v>1</v>
      </c>
      <c r="H368" s="55"/>
      <c r="I368" s="55"/>
      <c r="J368" s="139">
        <v>1921</v>
      </c>
      <c r="K368" s="139" t="s">
        <v>139</v>
      </c>
      <c r="L368" s="96">
        <v>57</v>
      </c>
      <c r="M368" s="140">
        <f t="shared" si="8"/>
        <v>1211.003652360515</v>
      </c>
    </row>
    <row r="369" spans="1:13" ht="15" customHeight="1">
      <c r="A369" s="357"/>
      <c r="B369" s="357"/>
      <c r="C369" s="364"/>
      <c r="D369" s="138">
        <v>1</v>
      </c>
      <c r="E369" s="147">
        <v>1</v>
      </c>
      <c r="F369" s="147"/>
      <c r="G369" s="147">
        <v>1</v>
      </c>
      <c r="H369" s="55"/>
      <c r="I369" s="55"/>
      <c r="J369" s="139">
        <v>1922</v>
      </c>
      <c r="K369" s="139" t="s">
        <v>138</v>
      </c>
      <c r="L369" s="96">
        <v>214.17</v>
      </c>
      <c r="M369" s="140">
        <f t="shared" si="8"/>
        <v>4550.186881158797</v>
      </c>
    </row>
    <row r="370" spans="1:13" ht="15" customHeight="1">
      <c r="A370" s="357"/>
      <c r="B370" s="357"/>
      <c r="C370" s="364"/>
      <c r="D370" s="138">
        <v>1</v>
      </c>
      <c r="E370" s="147">
        <v>1</v>
      </c>
      <c r="F370" s="147"/>
      <c r="G370" s="147">
        <v>1</v>
      </c>
      <c r="H370" s="55"/>
      <c r="I370" s="55"/>
      <c r="J370" s="139">
        <v>1913</v>
      </c>
      <c r="K370" s="139" t="s">
        <v>139</v>
      </c>
      <c r="L370" s="96">
        <v>65.09</v>
      </c>
      <c r="M370" s="140">
        <f t="shared" si="8"/>
        <v>1382.8811882832617</v>
      </c>
    </row>
    <row r="371" spans="1:13" ht="15" customHeight="1">
      <c r="A371" s="357"/>
      <c r="B371" s="357"/>
      <c r="C371" s="323"/>
      <c r="D371" s="138">
        <v>1</v>
      </c>
      <c r="E371" s="147"/>
      <c r="F371" s="147">
        <v>1</v>
      </c>
      <c r="G371" s="147">
        <v>1</v>
      </c>
      <c r="H371" s="55"/>
      <c r="I371" s="55"/>
      <c r="J371" s="139">
        <v>1931</v>
      </c>
      <c r="K371" s="139" t="s">
        <v>138</v>
      </c>
      <c r="L371" s="96">
        <v>63.9</v>
      </c>
      <c r="M371" s="140">
        <f t="shared" si="8"/>
        <v>1357.598831330472</v>
      </c>
    </row>
    <row r="372" spans="1:13" ht="15" customHeight="1">
      <c r="A372" s="357"/>
      <c r="B372" s="357"/>
      <c r="C372" s="364"/>
      <c r="D372" s="138">
        <v>1</v>
      </c>
      <c r="E372" s="147">
        <v>1</v>
      </c>
      <c r="F372" s="147"/>
      <c r="G372" s="147">
        <v>1</v>
      </c>
      <c r="H372" s="55"/>
      <c r="I372" s="55"/>
      <c r="J372" s="139">
        <v>1938</v>
      </c>
      <c r="K372" s="139" t="s">
        <v>139</v>
      </c>
      <c r="L372" s="96">
        <v>53.5</v>
      </c>
      <c r="M372" s="140">
        <f t="shared" si="8"/>
        <v>1136.643778969957</v>
      </c>
    </row>
    <row r="373" spans="1:13" ht="15" customHeight="1">
      <c r="A373" s="357"/>
      <c r="B373" s="357"/>
      <c r="C373" s="364"/>
      <c r="D373" s="138">
        <v>1</v>
      </c>
      <c r="E373" s="147"/>
      <c r="F373" s="147">
        <v>1</v>
      </c>
      <c r="G373" s="147">
        <v>1</v>
      </c>
      <c r="H373" s="55"/>
      <c r="I373" s="55"/>
      <c r="J373" s="139">
        <v>1913</v>
      </c>
      <c r="K373" s="139" t="s">
        <v>139</v>
      </c>
      <c r="L373" s="96">
        <v>52.21</v>
      </c>
      <c r="M373" s="140">
        <f t="shared" si="8"/>
        <v>1109.2368542060085</v>
      </c>
    </row>
    <row r="374" spans="1:13" ht="15" customHeight="1">
      <c r="A374" s="357"/>
      <c r="B374" s="357"/>
      <c r="C374" s="323"/>
      <c r="D374" s="138">
        <v>1</v>
      </c>
      <c r="E374" s="147"/>
      <c r="F374" s="147">
        <v>1</v>
      </c>
      <c r="G374" s="147">
        <v>1</v>
      </c>
      <c r="H374" s="55"/>
      <c r="I374" s="55"/>
      <c r="J374" s="139">
        <v>1927</v>
      </c>
      <c r="K374" s="139" t="s">
        <v>139</v>
      </c>
      <c r="L374" s="96">
        <v>48.91</v>
      </c>
      <c r="M374" s="140">
        <f t="shared" si="8"/>
        <v>1039.1261164377681</v>
      </c>
    </row>
    <row r="375" spans="1:13" ht="15" customHeight="1">
      <c r="A375" s="357"/>
      <c r="B375" s="357"/>
      <c r="C375" s="364"/>
      <c r="D375" s="138">
        <v>1</v>
      </c>
      <c r="E375" s="147"/>
      <c r="F375" s="147">
        <v>1</v>
      </c>
      <c r="G375" s="147">
        <v>1</v>
      </c>
      <c r="H375" s="55"/>
      <c r="I375" s="55"/>
      <c r="J375" s="139">
        <v>1927</v>
      </c>
      <c r="K375" s="139" t="s">
        <v>139</v>
      </c>
      <c r="L375" s="96">
        <v>15</v>
      </c>
      <c r="M375" s="140">
        <f t="shared" si="8"/>
        <v>318.6851716738197</v>
      </c>
    </row>
    <row r="376" spans="1:13" ht="15" customHeight="1">
      <c r="A376" s="357"/>
      <c r="B376" s="357"/>
      <c r="C376" s="364"/>
      <c r="D376" s="138">
        <v>1</v>
      </c>
      <c r="E376" s="147">
        <v>1</v>
      </c>
      <c r="F376" s="147"/>
      <c r="G376" s="147">
        <v>1</v>
      </c>
      <c r="H376" s="55"/>
      <c r="I376" s="55"/>
      <c r="J376" s="139">
        <v>1940</v>
      </c>
      <c r="K376" s="139" t="s">
        <v>139</v>
      </c>
      <c r="L376" s="96">
        <v>15</v>
      </c>
      <c r="M376" s="140">
        <f t="shared" si="8"/>
        <v>318.6851716738197</v>
      </c>
    </row>
    <row r="377" spans="1:13" ht="15" customHeight="1">
      <c r="A377" s="357"/>
      <c r="B377" s="357"/>
      <c r="C377" s="364"/>
      <c r="D377" s="138">
        <v>1</v>
      </c>
      <c r="E377" s="147"/>
      <c r="F377" s="147">
        <v>1</v>
      </c>
      <c r="G377" s="147">
        <v>1</v>
      </c>
      <c r="H377" s="55"/>
      <c r="I377" s="55"/>
      <c r="J377" s="139">
        <v>1917</v>
      </c>
      <c r="K377" s="139" t="s">
        <v>139</v>
      </c>
      <c r="L377" s="96">
        <v>15</v>
      </c>
      <c r="M377" s="140">
        <f t="shared" si="8"/>
        <v>318.6851716738197</v>
      </c>
    </row>
    <row r="378" spans="1:13" ht="15" customHeight="1">
      <c r="A378" s="357"/>
      <c r="B378" s="357"/>
      <c r="C378" s="364"/>
      <c r="D378" s="138">
        <v>1</v>
      </c>
      <c r="E378" s="147"/>
      <c r="F378" s="147">
        <v>1</v>
      </c>
      <c r="G378" s="147">
        <v>1</v>
      </c>
      <c r="H378" s="55"/>
      <c r="I378" s="55"/>
      <c r="J378" s="139">
        <v>1922</v>
      </c>
      <c r="K378" s="139" t="s">
        <v>139</v>
      </c>
      <c r="L378" s="96">
        <v>46.85</v>
      </c>
      <c r="M378" s="140">
        <f t="shared" si="8"/>
        <v>995.360019527897</v>
      </c>
    </row>
    <row r="379" spans="1:13" ht="15" customHeight="1">
      <c r="A379" s="357"/>
      <c r="B379" s="357"/>
      <c r="C379" s="364"/>
      <c r="D379" s="138">
        <v>1</v>
      </c>
      <c r="E379" s="147">
        <v>1</v>
      </c>
      <c r="F379" s="147"/>
      <c r="G379" s="147">
        <v>1</v>
      </c>
      <c r="H379" s="55"/>
      <c r="I379" s="55"/>
      <c r="J379" s="139">
        <v>1935</v>
      </c>
      <c r="K379" s="139" t="s">
        <v>139</v>
      </c>
      <c r="L379" s="96">
        <v>42.79</v>
      </c>
      <c r="M379" s="140">
        <f t="shared" si="8"/>
        <v>909.1025663948498</v>
      </c>
    </row>
    <row r="380" spans="1:13" ht="15" customHeight="1">
      <c r="A380" s="357"/>
      <c r="B380" s="357"/>
      <c r="C380" s="364"/>
      <c r="D380" s="138">
        <v>1</v>
      </c>
      <c r="E380" s="147"/>
      <c r="F380" s="147">
        <v>1</v>
      </c>
      <c r="G380" s="147">
        <v>1</v>
      </c>
      <c r="H380" s="55"/>
      <c r="I380" s="55"/>
      <c r="J380" s="139">
        <v>1940</v>
      </c>
      <c r="K380" s="139" t="s">
        <v>139</v>
      </c>
      <c r="L380" s="96">
        <v>42.27</v>
      </c>
      <c r="M380" s="140">
        <f t="shared" si="8"/>
        <v>898.0548137768241</v>
      </c>
    </row>
    <row r="381" spans="1:13" ht="15" customHeight="1">
      <c r="A381" s="357"/>
      <c r="B381" s="357"/>
      <c r="C381" s="364"/>
      <c r="D381" s="138">
        <v>1</v>
      </c>
      <c r="E381" s="147"/>
      <c r="F381" s="147">
        <v>1</v>
      </c>
      <c r="G381" s="147">
        <v>1</v>
      </c>
      <c r="H381" s="55"/>
      <c r="I381" s="55"/>
      <c r="J381" s="139">
        <v>1941</v>
      </c>
      <c r="K381" s="139" t="s">
        <v>139</v>
      </c>
      <c r="L381" s="96">
        <v>40.2</v>
      </c>
      <c r="M381" s="140">
        <f t="shared" si="8"/>
        <v>854.0762600858369</v>
      </c>
    </row>
    <row r="382" spans="1:13" ht="15" customHeight="1">
      <c r="A382" s="357"/>
      <c r="B382" s="357"/>
      <c r="C382" s="364"/>
      <c r="D382" s="138">
        <v>1</v>
      </c>
      <c r="E382" s="147"/>
      <c r="F382" s="147">
        <v>1</v>
      </c>
      <c r="G382" s="147">
        <v>1</v>
      </c>
      <c r="H382" s="55"/>
      <c r="I382" s="55"/>
      <c r="J382" s="139">
        <v>1935</v>
      </c>
      <c r="K382" s="139" t="s">
        <v>139</v>
      </c>
      <c r="L382" s="96">
        <v>40.2</v>
      </c>
      <c r="M382" s="140">
        <f t="shared" si="8"/>
        <v>854.0762600858369</v>
      </c>
    </row>
    <row r="383" spans="1:13" ht="15" customHeight="1">
      <c r="A383" s="357"/>
      <c r="B383" s="357"/>
      <c r="C383" s="364"/>
      <c r="D383" s="138">
        <v>1</v>
      </c>
      <c r="E383" s="147">
        <v>1</v>
      </c>
      <c r="F383" s="147"/>
      <c r="G383" s="147">
        <v>1</v>
      </c>
      <c r="H383" s="55"/>
      <c r="I383" s="55"/>
      <c r="J383" s="139">
        <v>1932</v>
      </c>
      <c r="K383" s="139" t="s">
        <v>139</v>
      </c>
      <c r="L383" s="96">
        <v>36.85</v>
      </c>
      <c r="M383" s="140">
        <f t="shared" si="8"/>
        <v>782.9032384120171</v>
      </c>
    </row>
    <row r="384" spans="1:13" ht="15" customHeight="1">
      <c r="A384" s="357"/>
      <c r="B384" s="357"/>
      <c r="C384" s="364"/>
      <c r="D384" s="138">
        <v>1</v>
      </c>
      <c r="E384" s="147">
        <v>1</v>
      </c>
      <c r="F384" s="147"/>
      <c r="G384" s="147">
        <v>1</v>
      </c>
      <c r="H384" s="55"/>
      <c r="I384" s="55"/>
      <c r="J384" s="139">
        <v>1932</v>
      </c>
      <c r="K384" s="139" t="s">
        <v>139</v>
      </c>
      <c r="L384" s="96">
        <v>34.62</v>
      </c>
      <c r="M384" s="140">
        <f t="shared" si="8"/>
        <v>735.5253762231758</v>
      </c>
    </row>
    <row r="385" spans="1:13" ht="15" customHeight="1">
      <c r="A385" s="357"/>
      <c r="B385" s="357"/>
      <c r="C385" s="323"/>
      <c r="D385" s="138">
        <v>1</v>
      </c>
      <c r="E385" s="147"/>
      <c r="F385" s="147">
        <v>1</v>
      </c>
      <c r="G385" s="147">
        <v>1</v>
      </c>
      <c r="H385" s="55"/>
      <c r="I385" s="55"/>
      <c r="J385" s="139">
        <v>1923</v>
      </c>
      <c r="K385" s="139" t="s">
        <v>139</v>
      </c>
      <c r="L385" s="96">
        <v>34.57</v>
      </c>
      <c r="M385" s="140">
        <f t="shared" si="8"/>
        <v>734.4630923175965</v>
      </c>
    </row>
    <row r="386" spans="1:13" ht="15" customHeight="1">
      <c r="A386" s="357"/>
      <c r="B386" s="357"/>
      <c r="C386" s="364"/>
      <c r="D386" s="138">
        <v>1</v>
      </c>
      <c r="E386" s="147">
        <v>1</v>
      </c>
      <c r="F386" s="147"/>
      <c r="G386" s="147">
        <v>1</v>
      </c>
      <c r="H386" s="55"/>
      <c r="I386" s="55"/>
      <c r="J386" s="139">
        <v>1930</v>
      </c>
      <c r="K386" s="139" t="s">
        <v>139</v>
      </c>
      <c r="L386" s="96">
        <v>31.67</v>
      </c>
      <c r="M386" s="140">
        <f t="shared" si="8"/>
        <v>672.8506257939914</v>
      </c>
    </row>
    <row r="387" spans="1:13" ht="15" customHeight="1">
      <c r="A387" s="357"/>
      <c r="B387" s="357"/>
      <c r="C387" s="364"/>
      <c r="D387" s="138">
        <v>1</v>
      </c>
      <c r="E387" s="147"/>
      <c r="F387" s="147">
        <v>1</v>
      </c>
      <c r="G387" s="147">
        <v>1</v>
      </c>
      <c r="H387" s="55"/>
      <c r="I387" s="55"/>
      <c r="J387" s="139">
        <v>1938</v>
      </c>
      <c r="K387" s="139" t="s">
        <v>139</v>
      </c>
      <c r="L387" s="96">
        <v>26.78</v>
      </c>
      <c r="M387" s="140">
        <f t="shared" si="8"/>
        <v>568.9592598283261</v>
      </c>
    </row>
    <row r="388" spans="1:13" ht="15" customHeight="1">
      <c r="A388" s="357"/>
      <c r="B388" s="357"/>
      <c r="C388" s="364"/>
      <c r="D388" s="138">
        <v>1</v>
      </c>
      <c r="E388" s="147">
        <v>1</v>
      </c>
      <c r="F388" s="147"/>
      <c r="G388" s="147">
        <v>1</v>
      </c>
      <c r="H388" s="55"/>
      <c r="I388" s="55"/>
      <c r="J388" s="139">
        <v>1927</v>
      </c>
      <c r="K388" s="139" t="s">
        <v>139</v>
      </c>
      <c r="L388" s="96">
        <v>26.74</v>
      </c>
      <c r="M388" s="140">
        <f t="shared" si="8"/>
        <v>568.1094327038626</v>
      </c>
    </row>
    <row r="389" spans="1:13" ht="15" customHeight="1">
      <c r="A389" s="357"/>
      <c r="B389" s="357"/>
      <c r="C389" s="364"/>
      <c r="D389" s="138">
        <v>1</v>
      </c>
      <c r="E389" s="147"/>
      <c r="F389" s="147">
        <v>1</v>
      </c>
      <c r="G389" s="147">
        <v>1</v>
      </c>
      <c r="H389" s="55"/>
      <c r="I389" s="55"/>
      <c r="J389" s="139">
        <v>1924</v>
      </c>
      <c r="K389" s="139" t="s">
        <v>139</v>
      </c>
      <c r="L389" s="96">
        <v>26.46</v>
      </c>
      <c r="M389" s="140">
        <f t="shared" si="8"/>
        <v>562.160642832618</v>
      </c>
    </row>
    <row r="390" spans="1:13" ht="15" customHeight="1">
      <c r="A390" s="357"/>
      <c r="B390" s="357"/>
      <c r="C390" s="323"/>
      <c r="D390" s="138">
        <v>1</v>
      </c>
      <c r="E390" s="147"/>
      <c r="F390" s="147">
        <v>1</v>
      </c>
      <c r="G390" s="147">
        <v>1</v>
      </c>
      <c r="H390" s="55"/>
      <c r="I390" s="55"/>
      <c r="J390" s="139">
        <v>1931</v>
      </c>
      <c r="K390" s="139" t="s">
        <v>139</v>
      </c>
      <c r="L390" s="96">
        <v>8</v>
      </c>
      <c r="M390" s="140">
        <f t="shared" si="8"/>
        <v>169.96542489270385</v>
      </c>
    </row>
    <row r="391" spans="1:13" ht="15" customHeight="1">
      <c r="A391" s="357"/>
      <c r="B391" s="357"/>
      <c r="C391" s="364"/>
      <c r="D391" s="138">
        <v>1</v>
      </c>
      <c r="E391" s="147">
        <v>1</v>
      </c>
      <c r="F391" s="147"/>
      <c r="G391" s="147">
        <v>1</v>
      </c>
      <c r="H391" s="55"/>
      <c r="I391" s="55"/>
      <c r="J391" s="139">
        <v>1937</v>
      </c>
      <c r="K391" s="139" t="s">
        <v>139</v>
      </c>
      <c r="L391" s="96">
        <v>24.05</v>
      </c>
      <c r="M391" s="140">
        <f t="shared" si="8"/>
        <v>510.95855858369094</v>
      </c>
    </row>
    <row r="392" spans="1:13" ht="15" customHeight="1">
      <c r="A392" s="357"/>
      <c r="B392" s="357"/>
      <c r="C392" s="364"/>
      <c r="D392" s="138">
        <v>1</v>
      </c>
      <c r="E392" s="147"/>
      <c r="F392" s="147">
        <v>1</v>
      </c>
      <c r="G392" s="147">
        <v>1</v>
      </c>
      <c r="H392" s="55"/>
      <c r="I392" s="55"/>
      <c r="J392" s="139">
        <v>1933</v>
      </c>
      <c r="K392" s="139" t="s">
        <v>139</v>
      </c>
      <c r="L392" s="96">
        <v>17.86</v>
      </c>
      <c r="M392" s="140">
        <f t="shared" si="8"/>
        <v>379.4478110729613</v>
      </c>
    </row>
    <row r="393" spans="1:13" ht="15" customHeight="1">
      <c r="A393" s="357"/>
      <c r="B393" s="357"/>
      <c r="C393" s="364"/>
      <c r="D393" s="138">
        <v>1</v>
      </c>
      <c r="E393" s="147"/>
      <c r="F393" s="147">
        <v>1</v>
      </c>
      <c r="G393" s="147">
        <v>1</v>
      </c>
      <c r="H393" s="55"/>
      <c r="I393" s="55"/>
      <c r="J393" s="139">
        <v>1919</v>
      </c>
      <c r="K393" s="139" t="s">
        <v>139</v>
      </c>
      <c r="L393" s="96">
        <v>16.71</v>
      </c>
      <c r="M393" s="140">
        <f t="shared" si="8"/>
        <v>355.01528124463516</v>
      </c>
    </row>
    <row r="394" spans="1:13" ht="15" customHeight="1">
      <c r="A394" s="357"/>
      <c r="B394" s="357"/>
      <c r="C394" s="364"/>
      <c r="D394" s="138">
        <v>1</v>
      </c>
      <c r="E394" s="147"/>
      <c r="F394" s="147">
        <v>1</v>
      </c>
      <c r="G394" s="147">
        <v>1</v>
      </c>
      <c r="H394" s="55"/>
      <c r="I394" s="55"/>
      <c r="J394" s="139">
        <v>1928</v>
      </c>
      <c r="K394" s="139" t="s">
        <v>139</v>
      </c>
      <c r="L394" s="96">
        <v>15.63</v>
      </c>
      <c r="M394" s="140">
        <f t="shared" si="8"/>
        <v>332.06994888412015</v>
      </c>
    </row>
    <row r="395" spans="1:13" ht="15" customHeight="1">
      <c r="A395" s="357"/>
      <c r="B395" s="357"/>
      <c r="C395" s="364"/>
      <c r="D395" s="138">
        <v>1</v>
      </c>
      <c r="E395" s="147"/>
      <c r="F395" s="147">
        <v>1</v>
      </c>
      <c r="G395" s="147">
        <v>1</v>
      </c>
      <c r="H395" s="55"/>
      <c r="I395" s="55"/>
      <c r="J395" s="139">
        <v>1919</v>
      </c>
      <c r="K395" s="139" t="s">
        <v>139</v>
      </c>
      <c r="L395" s="96">
        <v>14.52</v>
      </c>
      <c r="M395" s="140">
        <f t="shared" si="8"/>
        <v>308.4872461802575</v>
      </c>
    </row>
    <row r="396" spans="1:13" ht="15" customHeight="1">
      <c r="A396" s="357"/>
      <c r="B396" s="357"/>
      <c r="C396" s="364"/>
      <c r="D396" s="138">
        <v>1</v>
      </c>
      <c r="E396" s="147"/>
      <c r="F396" s="147">
        <v>1</v>
      </c>
      <c r="G396" s="147">
        <v>1</v>
      </c>
      <c r="H396" s="55"/>
      <c r="I396" s="55"/>
      <c r="J396" s="139">
        <v>1928</v>
      </c>
      <c r="K396" s="139" t="s">
        <v>139</v>
      </c>
      <c r="L396" s="96">
        <v>14.52</v>
      </c>
      <c r="M396" s="140">
        <f t="shared" si="8"/>
        <v>308.4872461802575</v>
      </c>
    </row>
    <row r="397" spans="1:13" ht="15" customHeight="1">
      <c r="A397" s="357"/>
      <c r="B397" s="357"/>
      <c r="C397" s="364"/>
      <c r="D397" s="138">
        <v>1</v>
      </c>
      <c r="E397" s="147">
        <v>1</v>
      </c>
      <c r="F397" s="147"/>
      <c r="G397" s="147">
        <v>1</v>
      </c>
      <c r="H397" s="55"/>
      <c r="I397" s="55"/>
      <c r="J397" s="139">
        <v>1926</v>
      </c>
      <c r="K397" s="139" t="s">
        <v>139</v>
      </c>
      <c r="L397" s="96">
        <v>13.87</v>
      </c>
      <c r="M397" s="140">
        <f t="shared" si="8"/>
        <v>294.67755540772527</v>
      </c>
    </row>
    <row r="398" spans="1:13" ht="15" customHeight="1">
      <c r="A398" s="357"/>
      <c r="B398" s="357"/>
      <c r="C398" s="364"/>
      <c r="D398" s="138">
        <v>1</v>
      </c>
      <c r="E398" s="147">
        <v>1</v>
      </c>
      <c r="F398" s="147"/>
      <c r="G398" s="147">
        <v>1</v>
      </c>
      <c r="H398" s="55"/>
      <c r="I398" s="55"/>
      <c r="J398" s="139">
        <v>1926</v>
      </c>
      <c r="K398" s="139" t="s">
        <v>139</v>
      </c>
      <c r="L398" s="96">
        <v>13.4</v>
      </c>
      <c r="M398" s="140">
        <f t="shared" si="8"/>
        <v>284.69208669527893</v>
      </c>
    </row>
    <row r="399" spans="1:13" ht="15" customHeight="1">
      <c r="A399" s="357"/>
      <c r="B399" s="357"/>
      <c r="C399" s="364"/>
      <c r="D399" s="138">
        <v>1</v>
      </c>
      <c r="E399" s="147"/>
      <c r="F399" s="147">
        <v>1</v>
      </c>
      <c r="G399" s="147">
        <v>1</v>
      </c>
      <c r="H399" s="55"/>
      <c r="I399" s="55"/>
      <c r="J399" s="139">
        <v>1945</v>
      </c>
      <c r="K399" s="139" t="s">
        <v>139</v>
      </c>
      <c r="L399" s="96">
        <v>12.05</v>
      </c>
      <c r="M399" s="140">
        <f t="shared" si="8"/>
        <v>256.0104212446352</v>
      </c>
    </row>
    <row r="400" spans="1:13" ht="15" customHeight="1">
      <c r="A400" s="357"/>
      <c r="B400" s="357"/>
      <c r="C400" s="364"/>
      <c r="D400" s="138">
        <v>1</v>
      </c>
      <c r="E400" s="147"/>
      <c r="F400" s="147">
        <v>1</v>
      </c>
      <c r="G400" s="147">
        <v>1</v>
      </c>
      <c r="H400" s="55"/>
      <c r="I400" s="55"/>
      <c r="J400" s="139">
        <v>1935</v>
      </c>
      <c r="K400" s="139" t="s">
        <v>139</v>
      </c>
      <c r="L400" s="96">
        <v>11.17</v>
      </c>
      <c r="M400" s="140">
        <f t="shared" si="8"/>
        <v>237.31422450643774</v>
      </c>
    </row>
    <row r="401" spans="1:13" ht="15" customHeight="1">
      <c r="A401" s="357"/>
      <c r="B401" s="357"/>
      <c r="C401" s="364"/>
      <c r="D401" s="138">
        <v>1</v>
      </c>
      <c r="E401" s="147"/>
      <c r="F401" s="147">
        <v>1</v>
      </c>
      <c r="G401" s="147">
        <v>1</v>
      </c>
      <c r="H401" s="55"/>
      <c r="I401" s="55"/>
      <c r="J401" s="139">
        <v>1929</v>
      </c>
      <c r="K401" s="139" t="s">
        <v>139</v>
      </c>
      <c r="L401" s="96">
        <v>10.05</v>
      </c>
      <c r="M401" s="140">
        <f t="shared" si="8"/>
        <v>213.51906502145923</v>
      </c>
    </row>
    <row r="402" spans="1:13" ht="15" customHeight="1">
      <c r="A402" s="357"/>
      <c r="B402" s="357"/>
      <c r="C402" s="364"/>
      <c r="D402" s="138">
        <v>1</v>
      </c>
      <c r="E402" s="147">
        <v>1</v>
      </c>
      <c r="F402" s="147"/>
      <c r="G402" s="147">
        <v>1</v>
      </c>
      <c r="H402" s="55"/>
      <c r="I402" s="55"/>
      <c r="J402" s="139">
        <v>1941</v>
      </c>
      <c r="K402" s="139" t="s">
        <v>138</v>
      </c>
      <c r="L402" s="96">
        <v>8.93</v>
      </c>
      <c r="M402" s="140">
        <f t="shared" si="8"/>
        <v>189.72390553648066</v>
      </c>
    </row>
    <row r="403" spans="1:13" ht="15" customHeight="1">
      <c r="A403" s="357"/>
      <c r="B403" s="357"/>
      <c r="C403" s="364"/>
      <c r="D403" s="138">
        <v>1</v>
      </c>
      <c r="E403" s="147"/>
      <c r="F403" s="147">
        <v>1</v>
      </c>
      <c r="G403" s="147">
        <v>1</v>
      </c>
      <c r="H403" s="55"/>
      <c r="I403" s="55"/>
      <c r="J403" s="139">
        <v>1936</v>
      </c>
      <c r="K403" s="139" t="s">
        <v>139</v>
      </c>
      <c r="L403" s="96">
        <v>7.82</v>
      </c>
      <c r="M403" s="140">
        <f t="shared" si="8"/>
        <v>166.141202832618</v>
      </c>
    </row>
    <row r="404" spans="1:13" ht="15" customHeight="1">
      <c r="A404" s="357"/>
      <c r="B404" s="357"/>
      <c r="C404" s="364"/>
      <c r="D404" s="138">
        <v>1</v>
      </c>
      <c r="E404" s="147">
        <v>1</v>
      </c>
      <c r="F404" s="147"/>
      <c r="G404" s="147">
        <v>1</v>
      </c>
      <c r="H404" s="55"/>
      <c r="I404" s="55"/>
      <c r="J404" s="139">
        <v>1933</v>
      </c>
      <c r="K404" s="139" t="s">
        <v>139</v>
      </c>
      <c r="L404" s="96">
        <v>7.28</v>
      </c>
      <c r="M404" s="140">
        <f t="shared" si="8"/>
        <v>154.6685366523605</v>
      </c>
    </row>
    <row r="405" spans="1:13" ht="15" customHeight="1">
      <c r="A405" s="357"/>
      <c r="B405" s="357"/>
      <c r="C405" s="364"/>
      <c r="D405" s="138">
        <v>1</v>
      </c>
      <c r="E405" s="147"/>
      <c r="F405" s="147">
        <v>1</v>
      </c>
      <c r="G405" s="147">
        <v>1</v>
      </c>
      <c r="H405" s="55"/>
      <c r="I405" s="55"/>
      <c r="J405" s="139">
        <v>1925</v>
      </c>
      <c r="K405" s="139" t="s">
        <v>139</v>
      </c>
      <c r="L405" s="96">
        <v>6.78</v>
      </c>
      <c r="M405" s="140">
        <f t="shared" si="8"/>
        <v>144.04569759656653</v>
      </c>
    </row>
    <row r="406" spans="1:13" ht="15" customHeight="1">
      <c r="A406" s="357"/>
      <c r="B406" s="357"/>
      <c r="C406" s="323"/>
      <c r="D406" s="138">
        <v>1</v>
      </c>
      <c r="E406" s="147">
        <v>1</v>
      </c>
      <c r="F406" s="147"/>
      <c r="G406" s="147">
        <v>1</v>
      </c>
      <c r="H406" s="55"/>
      <c r="I406" s="55"/>
      <c r="J406" s="139">
        <v>1930</v>
      </c>
      <c r="K406" s="139" t="s">
        <v>138</v>
      </c>
      <c r="L406" s="96">
        <v>6.6</v>
      </c>
      <c r="M406" s="140">
        <f t="shared" si="8"/>
        <v>140.22147553648068</v>
      </c>
    </row>
    <row r="407" spans="1:13" ht="15" customHeight="1">
      <c r="A407" s="357"/>
      <c r="B407" s="357"/>
      <c r="C407" s="364"/>
      <c r="D407" s="138">
        <v>1</v>
      </c>
      <c r="E407" s="147"/>
      <c r="F407" s="147">
        <v>1</v>
      </c>
      <c r="G407" s="147">
        <v>1</v>
      </c>
      <c r="H407" s="55"/>
      <c r="I407" s="55"/>
      <c r="J407" s="139">
        <v>1932</v>
      </c>
      <c r="K407" s="139" t="s">
        <v>139</v>
      </c>
      <c r="L407" s="96">
        <v>5.58</v>
      </c>
      <c r="M407" s="140">
        <f t="shared" si="8"/>
        <v>118.55088386266094</v>
      </c>
    </row>
    <row r="408" spans="1:13" ht="15" customHeight="1">
      <c r="A408" s="357"/>
      <c r="B408" s="357"/>
      <c r="C408" s="364"/>
      <c r="D408" s="138">
        <v>1</v>
      </c>
      <c r="E408" s="147"/>
      <c r="F408" s="147">
        <v>1</v>
      </c>
      <c r="G408" s="147">
        <v>1</v>
      </c>
      <c r="H408" s="55"/>
      <c r="I408" s="55"/>
      <c r="J408" s="139">
        <v>1927</v>
      </c>
      <c r="K408" s="139" t="s">
        <v>139</v>
      </c>
      <c r="L408" s="96">
        <v>5.49</v>
      </c>
      <c r="M408" s="140">
        <f t="shared" si="8"/>
        <v>116.63877283261802</v>
      </c>
    </row>
    <row r="409" spans="1:13" ht="15" customHeight="1">
      <c r="A409" s="357"/>
      <c r="B409" s="357"/>
      <c r="C409" s="364"/>
      <c r="D409" s="138">
        <v>1</v>
      </c>
      <c r="E409" s="147">
        <v>1</v>
      </c>
      <c r="F409" s="147"/>
      <c r="G409" s="147">
        <v>1</v>
      </c>
      <c r="H409" s="55"/>
      <c r="I409" s="55"/>
      <c r="J409" s="139">
        <v>1926</v>
      </c>
      <c r="K409" s="139" t="s">
        <v>139</v>
      </c>
      <c r="L409" s="96">
        <v>4.93</v>
      </c>
      <c r="M409" s="140">
        <f t="shared" si="8"/>
        <v>104.74119309012875</v>
      </c>
    </row>
    <row r="410" spans="1:13" ht="15" customHeight="1">
      <c r="A410" s="357"/>
      <c r="B410" s="357"/>
      <c r="C410" s="364"/>
      <c r="D410" s="138">
        <v>1</v>
      </c>
      <c r="E410" s="147"/>
      <c r="F410" s="147">
        <v>1</v>
      </c>
      <c r="G410" s="147">
        <v>1</v>
      </c>
      <c r="H410" s="55"/>
      <c r="I410" s="55"/>
      <c r="J410" s="139">
        <v>1924</v>
      </c>
      <c r="K410" s="139" t="s">
        <v>138</v>
      </c>
      <c r="L410" s="96">
        <v>4.93</v>
      </c>
      <c r="M410" s="140">
        <f t="shared" si="8"/>
        <v>104.74119309012875</v>
      </c>
    </row>
    <row r="411" spans="1:13" ht="15" customHeight="1">
      <c r="A411" s="357"/>
      <c r="B411" s="357"/>
      <c r="C411" s="364"/>
      <c r="D411" s="138">
        <v>1</v>
      </c>
      <c r="E411" s="147"/>
      <c r="F411" s="147">
        <v>1</v>
      </c>
      <c r="G411" s="147">
        <v>1</v>
      </c>
      <c r="H411" s="55"/>
      <c r="I411" s="55"/>
      <c r="J411" s="139">
        <v>1934</v>
      </c>
      <c r="K411" s="139" t="s">
        <v>139</v>
      </c>
      <c r="L411" s="96">
        <v>4.47</v>
      </c>
      <c r="M411" s="140">
        <f>99004.86/4660*L411</f>
        <v>94.96818115879827</v>
      </c>
    </row>
    <row r="412" spans="1:13" ht="15" customHeight="1">
      <c r="A412" s="357"/>
      <c r="B412" s="357"/>
      <c r="C412" s="364"/>
      <c r="D412" s="138">
        <v>1</v>
      </c>
      <c r="E412" s="147">
        <v>1</v>
      </c>
      <c r="F412" s="147"/>
      <c r="G412" s="147">
        <v>1</v>
      </c>
      <c r="H412" s="55"/>
      <c r="I412" s="55"/>
      <c r="J412" s="139">
        <v>1935</v>
      </c>
      <c r="K412" s="139" t="s">
        <v>139</v>
      </c>
      <c r="L412" s="96">
        <v>3.35</v>
      </c>
      <c r="M412" s="140">
        <f>99004.86/4660*L412</f>
        <v>71.17302167381973</v>
      </c>
    </row>
    <row r="413" spans="1:13" ht="15" customHeight="1">
      <c r="A413" s="357"/>
      <c r="B413" s="357"/>
      <c r="C413" s="364"/>
      <c r="D413" s="138">
        <v>1</v>
      </c>
      <c r="E413" s="147">
        <v>1</v>
      </c>
      <c r="F413" s="147"/>
      <c r="G413" s="147">
        <v>1</v>
      </c>
      <c r="H413" s="55"/>
      <c r="I413" s="55"/>
      <c r="J413" s="139">
        <v>1920</v>
      </c>
      <c r="K413" s="139" t="s">
        <v>139</v>
      </c>
      <c r="L413" s="96">
        <v>2.23</v>
      </c>
      <c r="M413" s="140">
        <f>99004.86/4660*L413</f>
        <v>47.3778621888412</v>
      </c>
    </row>
    <row r="414" spans="1:15" s="87" customFormat="1" ht="15" customHeight="1">
      <c r="A414" s="374" t="s">
        <v>98</v>
      </c>
      <c r="B414" s="374"/>
      <c r="C414" s="84"/>
      <c r="D414" s="143">
        <f>SUM(D346:D413)</f>
        <v>68</v>
      </c>
      <c r="E414" s="143">
        <f>SUM(E346:E413)</f>
        <v>26</v>
      </c>
      <c r="F414" s="143">
        <f>SUM(F346:F413)</f>
        <v>42</v>
      </c>
      <c r="G414" s="143">
        <f>SUM(G346:G413)</f>
        <v>68</v>
      </c>
      <c r="H414" s="143">
        <f>SUM(H346:H413)</f>
        <v>0</v>
      </c>
      <c r="I414" s="143"/>
      <c r="J414" s="143"/>
      <c r="K414" s="143"/>
      <c r="L414" s="143">
        <f>SUM(L346:L413)</f>
        <v>4659.8</v>
      </c>
      <c r="M414" s="144">
        <f>10183.65+88821.21</f>
        <v>99004.86</v>
      </c>
      <c r="N414" s="87" t="s">
        <v>88</v>
      </c>
      <c r="O414" s="87" t="s">
        <v>89</v>
      </c>
    </row>
    <row r="415" spans="1:16" s="87" customFormat="1" ht="15" customHeight="1">
      <c r="A415" s="381" t="s">
        <v>84</v>
      </c>
      <c r="B415" s="381"/>
      <c r="C415" s="48"/>
      <c r="D415" s="48"/>
      <c r="E415" s="48"/>
      <c r="F415" s="48"/>
      <c r="G415" s="48"/>
      <c r="H415" s="48"/>
      <c r="I415" s="48"/>
      <c r="J415" s="48"/>
      <c r="K415" s="48"/>
      <c r="L415" s="48"/>
      <c r="M415" s="48"/>
      <c r="N415" s="131"/>
      <c r="O415" s="132"/>
      <c r="P415" s="133"/>
    </row>
    <row r="416" spans="1:32" s="136" customFormat="1" ht="44.25" customHeight="1">
      <c r="A416" s="52" t="s">
        <v>2</v>
      </c>
      <c r="B416" s="52" t="s">
        <v>1</v>
      </c>
      <c r="C416" s="52" t="s">
        <v>3</v>
      </c>
      <c r="D416" s="52" t="s">
        <v>120</v>
      </c>
      <c r="E416" s="52" t="s">
        <v>90</v>
      </c>
      <c r="F416" s="52" t="s">
        <v>91</v>
      </c>
      <c r="G416" s="52" t="s">
        <v>140</v>
      </c>
      <c r="H416" s="52" t="s">
        <v>127</v>
      </c>
      <c r="I416" s="52" t="s">
        <v>159</v>
      </c>
      <c r="J416" s="52" t="s">
        <v>119</v>
      </c>
      <c r="K416" s="52" t="s">
        <v>137</v>
      </c>
      <c r="L416" s="52" t="s">
        <v>173</v>
      </c>
      <c r="M416" s="52" t="s">
        <v>19</v>
      </c>
      <c r="N416" s="134"/>
      <c r="O416" s="134"/>
      <c r="P416" s="135"/>
      <c r="Q416" s="135"/>
      <c r="R416" s="135"/>
      <c r="S416" s="135"/>
      <c r="T416" s="135"/>
      <c r="U416" s="135"/>
      <c r="V416" s="135"/>
      <c r="W416" s="135"/>
      <c r="X416" s="135"/>
      <c r="Y416" s="135"/>
      <c r="Z416" s="135"/>
      <c r="AA416" s="135"/>
      <c r="AB416" s="135"/>
      <c r="AC416" s="135"/>
      <c r="AD416" s="135"/>
      <c r="AE416" s="135"/>
      <c r="AF416" s="135"/>
    </row>
    <row r="417" spans="1:15" ht="15" customHeight="1">
      <c r="A417" s="357"/>
      <c r="B417" s="357"/>
      <c r="C417" s="364"/>
      <c r="D417" s="147">
        <v>1</v>
      </c>
      <c r="E417" s="146">
        <v>1</v>
      </c>
      <c r="F417" s="146"/>
      <c r="G417" s="147">
        <v>1</v>
      </c>
      <c r="H417" s="146"/>
      <c r="I417" s="146"/>
      <c r="J417" s="139">
        <v>1936</v>
      </c>
      <c r="K417" s="139" t="s">
        <v>139</v>
      </c>
      <c r="L417" s="153">
        <v>19</v>
      </c>
      <c r="M417" s="140">
        <f>21879.26/1026.2*L417</f>
        <v>405.09251607873705</v>
      </c>
      <c r="O417" s="154"/>
    </row>
    <row r="418" spans="1:15" ht="15" customHeight="1">
      <c r="A418" s="357"/>
      <c r="B418" s="357"/>
      <c r="C418" s="364"/>
      <c r="D418" s="147">
        <v>1</v>
      </c>
      <c r="E418" s="146">
        <v>1</v>
      </c>
      <c r="F418" s="146"/>
      <c r="G418" s="147">
        <v>1</v>
      </c>
      <c r="H418" s="146"/>
      <c r="I418" s="146"/>
      <c r="J418" s="139">
        <v>1920</v>
      </c>
      <c r="K418" s="139" t="s">
        <v>139</v>
      </c>
      <c r="L418" s="153">
        <v>2.42</v>
      </c>
      <c r="M418" s="140">
        <f aca="true" t="shared" si="9" ref="M418:M431">21879.26/1026.2*L418</f>
        <v>51.59599415318651</v>
      </c>
      <c r="O418" s="154"/>
    </row>
    <row r="419" spans="1:15" ht="15" customHeight="1">
      <c r="A419" s="357"/>
      <c r="B419" s="357"/>
      <c r="C419" s="364"/>
      <c r="D419" s="147">
        <v>1</v>
      </c>
      <c r="E419" s="146">
        <v>1</v>
      </c>
      <c r="F419" s="146"/>
      <c r="G419" s="147">
        <v>1</v>
      </c>
      <c r="H419" s="146"/>
      <c r="I419" s="146"/>
      <c r="J419" s="139">
        <v>1929</v>
      </c>
      <c r="K419" s="139" t="s">
        <v>139</v>
      </c>
      <c r="L419" s="153">
        <v>4.83</v>
      </c>
      <c r="M419" s="140">
        <f t="shared" si="9"/>
        <v>102.97878171896316</v>
      </c>
      <c r="O419" s="155"/>
    </row>
    <row r="420" spans="1:15" ht="15" customHeight="1">
      <c r="A420" s="357"/>
      <c r="B420" s="357"/>
      <c r="C420" s="364"/>
      <c r="D420" s="147">
        <v>1</v>
      </c>
      <c r="E420" s="146"/>
      <c r="F420" s="146">
        <v>1</v>
      </c>
      <c r="G420" s="147">
        <v>1</v>
      </c>
      <c r="H420" s="146"/>
      <c r="I420" s="146"/>
      <c r="J420" s="139">
        <v>1924</v>
      </c>
      <c r="K420" s="139" t="s">
        <v>138</v>
      </c>
      <c r="L420" s="153">
        <f>49.83+10</f>
        <v>59.83</v>
      </c>
      <c r="M420" s="140">
        <f t="shared" si="9"/>
        <v>1275.615012473202</v>
      </c>
      <c r="O420" s="155"/>
    </row>
    <row r="421" spans="1:15" ht="15" customHeight="1">
      <c r="A421" s="357"/>
      <c r="B421" s="357"/>
      <c r="C421" s="364"/>
      <c r="D421" s="147">
        <v>1</v>
      </c>
      <c r="E421" s="147"/>
      <c r="F421" s="147">
        <v>1</v>
      </c>
      <c r="G421" s="147">
        <v>1</v>
      </c>
      <c r="H421" s="55"/>
      <c r="I421" s="55"/>
      <c r="J421" s="139">
        <v>1939</v>
      </c>
      <c r="K421" s="139" t="s">
        <v>139</v>
      </c>
      <c r="L421" s="153">
        <v>12.42</v>
      </c>
      <c r="M421" s="140">
        <f t="shared" si="9"/>
        <v>264.80258156304814</v>
      </c>
      <c r="O421" s="155"/>
    </row>
    <row r="422" spans="1:15" ht="15" customHeight="1">
      <c r="A422" s="357"/>
      <c r="B422" s="357"/>
      <c r="C422" s="364"/>
      <c r="D422" s="147">
        <v>1</v>
      </c>
      <c r="E422" s="147">
        <v>1</v>
      </c>
      <c r="F422" s="147"/>
      <c r="G422" s="147">
        <v>1</v>
      </c>
      <c r="H422" s="55"/>
      <c r="I422" s="55"/>
      <c r="J422" s="139">
        <v>1946</v>
      </c>
      <c r="K422" s="139" t="s">
        <v>139</v>
      </c>
      <c r="L422" s="153">
        <f>112.24+10</f>
        <v>122.24</v>
      </c>
      <c r="M422" s="140">
        <f t="shared" si="9"/>
        <v>2606.237324498148</v>
      </c>
      <c r="O422" s="155"/>
    </row>
    <row r="423" spans="1:15" ht="15" customHeight="1">
      <c r="A423" s="357"/>
      <c r="B423" s="357"/>
      <c r="C423" s="364"/>
      <c r="D423" s="147">
        <v>1</v>
      </c>
      <c r="E423" s="147"/>
      <c r="F423" s="147">
        <v>1</v>
      </c>
      <c r="G423" s="147">
        <v>1</v>
      </c>
      <c r="H423" s="55"/>
      <c r="I423" s="55"/>
      <c r="J423" s="139">
        <v>1929</v>
      </c>
      <c r="K423" s="139" t="s">
        <v>138</v>
      </c>
      <c r="L423" s="153">
        <v>11.42</v>
      </c>
      <c r="M423" s="140">
        <f t="shared" si="9"/>
        <v>243.48192282206196</v>
      </c>
      <c r="O423" s="155"/>
    </row>
    <row r="424" spans="1:15" ht="15" customHeight="1">
      <c r="A424" s="357"/>
      <c r="B424" s="357"/>
      <c r="C424" s="364"/>
      <c r="D424" s="147">
        <v>1</v>
      </c>
      <c r="E424" s="147">
        <v>1</v>
      </c>
      <c r="F424" s="147"/>
      <c r="G424" s="147">
        <v>1</v>
      </c>
      <c r="H424" s="55"/>
      <c r="I424" s="55"/>
      <c r="J424" s="139">
        <v>1937</v>
      </c>
      <c r="K424" s="139" t="s">
        <v>139</v>
      </c>
      <c r="L424" s="153">
        <v>7.5</v>
      </c>
      <c r="M424" s="140">
        <f t="shared" si="9"/>
        <v>159.9049405573962</v>
      </c>
      <c r="O424" s="155"/>
    </row>
    <row r="425" spans="1:15" ht="15" customHeight="1">
      <c r="A425" s="357"/>
      <c r="B425" s="357"/>
      <c r="C425" s="364"/>
      <c r="D425" s="147">
        <v>1</v>
      </c>
      <c r="E425" s="147">
        <v>1</v>
      </c>
      <c r="F425" s="147"/>
      <c r="G425" s="147">
        <v>1</v>
      </c>
      <c r="H425" s="55"/>
      <c r="I425" s="55"/>
      <c r="J425" s="139">
        <v>1931</v>
      </c>
      <c r="K425" s="139" t="s">
        <v>139</v>
      </c>
      <c r="L425" s="153">
        <v>68.62</v>
      </c>
      <c r="M425" s="140">
        <f t="shared" si="9"/>
        <v>1463.0236028064705</v>
      </c>
      <c r="O425" s="155"/>
    </row>
    <row r="426" spans="1:15" ht="15" customHeight="1">
      <c r="A426" s="357"/>
      <c r="B426" s="357"/>
      <c r="C426" s="364"/>
      <c r="D426" s="147">
        <v>1</v>
      </c>
      <c r="E426" s="147"/>
      <c r="F426" s="147">
        <v>1</v>
      </c>
      <c r="G426" s="147">
        <v>1</v>
      </c>
      <c r="H426" s="55"/>
      <c r="I426" s="55"/>
      <c r="J426" s="139">
        <v>1930</v>
      </c>
      <c r="K426" s="139" t="s">
        <v>138</v>
      </c>
      <c r="L426" s="153">
        <v>18.75</v>
      </c>
      <c r="M426" s="140">
        <f t="shared" si="9"/>
        <v>399.7623513934905</v>
      </c>
      <c r="O426" s="155"/>
    </row>
    <row r="427" spans="1:15" ht="15" customHeight="1">
      <c r="A427" s="357"/>
      <c r="B427" s="357"/>
      <c r="C427" s="364"/>
      <c r="D427" s="147">
        <v>1</v>
      </c>
      <c r="E427" s="147">
        <v>1</v>
      </c>
      <c r="F427" s="147"/>
      <c r="G427" s="147">
        <v>1</v>
      </c>
      <c r="H427" s="55"/>
      <c r="I427" s="55"/>
      <c r="J427" s="139">
        <v>1927</v>
      </c>
      <c r="K427" s="139" t="s">
        <v>138</v>
      </c>
      <c r="L427" s="153">
        <f>86.36+10</f>
        <v>96.36</v>
      </c>
      <c r="M427" s="140">
        <f t="shared" si="9"/>
        <v>2054.4586762814265</v>
      </c>
      <c r="O427" s="155"/>
    </row>
    <row r="428" spans="1:15" ht="15" customHeight="1">
      <c r="A428" s="357"/>
      <c r="B428" s="357"/>
      <c r="C428" s="364"/>
      <c r="D428" s="147">
        <v>1</v>
      </c>
      <c r="E428" s="147"/>
      <c r="F428" s="147">
        <v>1</v>
      </c>
      <c r="G428" s="147">
        <v>1</v>
      </c>
      <c r="H428" s="55"/>
      <c r="I428" s="55"/>
      <c r="J428" s="139">
        <v>1922</v>
      </c>
      <c r="K428" s="139" t="s">
        <v>139</v>
      </c>
      <c r="L428" s="153">
        <f>234.85+20</f>
        <v>254.85</v>
      </c>
      <c r="M428" s="140">
        <f t="shared" si="9"/>
        <v>5433.569880140323</v>
      </c>
      <c r="O428" s="155"/>
    </row>
    <row r="429" spans="1:15" ht="15" customHeight="1">
      <c r="A429" s="357"/>
      <c r="B429" s="357"/>
      <c r="C429" s="364"/>
      <c r="D429" s="147">
        <v>1</v>
      </c>
      <c r="E429" s="147"/>
      <c r="F429" s="147">
        <v>1</v>
      </c>
      <c r="G429" s="147">
        <v>1</v>
      </c>
      <c r="H429" s="55"/>
      <c r="I429" s="55"/>
      <c r="J429" s="139">
        <v>1935</v>
      </c>
      <c r="K429" s="139" t="s">
        <v>139</v>
      </c>
      <c r="L429" s="153">
        <f>122.25+10</f>
        <v>132.25</v>
      </c>
      <c r="M429" s="140">
        <f t="shared" si="9"/>
        <v>2819.65711849542</v>
      </c>
      <c r="O429" s="155"/>
    </row>
    <row r="430" spans="1:15" ht="15" customHeight="1">
      <c r="A430" s="357"/>
      <c r="B430" s="357"/>
      <c r="C430" s="364"/>
      <c r="D430" s="147">
        <v>1</v>
      </c>
      <c r="E430" s="147">
        <v>1</v>
      </c>
      <c r="F430" s="147"/>
      <c r="G430" s="147">
        <v>1</v>
      </c>
      <c r="H430" s="55"/>
      <c r="I430" s="55"/>
      <c r="J430" s="139">
        <v>1931</v>
      </c>
      <c r="K430" s="139" t="s">
        <v>138</v>
      </c>
      <c r="L430" s="153">
        <v>8.75</v>
      </c>
      <c r="M430" s="140">
        <f t="shared" si="9"/>
        <v>186.5557639836289</v>
      </c>
      <c r="O430" s="155"/>
    </row>
    <row r="431" spans="1:15" ht="15" customHeight="1">
      <c r="A431" s="357"/>
      <c r="B431" s="357"/>
      <c r="C431" s="364"/>
      <c r="D431" s="147">
        <v>1</v>
      </c>
      <c r="E431" s="147"/>
      <c r="F431" s="147">
        <v>1</v>
      </c>
      <c r="G431" s="147">
        <v>1</v>
      </c>
      <c r="H431" s="55"/>
      <c r="I431" s="55"/>
      <c r="J431" s="139">
        <v>1931</v>
      </c>
      <c r="K431" s="139" t="s">
        <v>139</v>
      </c>
      <c r="L431" s="153">
        <f>196.98+10</f>
        <v>206.98</v>
      </c>
      <c r="M431" s="140">
        <f t="shared" si="9"/>
        <v>4412.949946209315</v>
      </c>
      <c r="O431" s="155"/>
    </row>
    <row r="432" spans="1:16" s="87" customFormat="1" ht="15" customHeight="1">
      <c r="A432" s="374" t="s">
        <v>99</v>
      </c>
      <c r="B432" s="374"/>
      <c r="C432" s="143"/>
      <c r="D432" s="143">
        <f>SUM(D417:D431)</f>
        <v>15</v>
      </c>
      <c r="E432" s="143">
        <f>SUM(E417:E431)</f>
        <v>8</v>
      </c>
      <c r="F432" s="143">
        <f>SUM(F417:F431)</f>
        <v>7</v>
      </c>
      <c r="G432" s="143">
        <f>SUM(G417:G431)</f>
        <v>15</v>
      </c>
      <c r="H432" s="143">
        <f>SUM(H417:H431)</f>
        <v>0</v>
      </c>
      <c r="I432" s="143"/>
      <c r="J432" s="143"/>
      <c r="K432" s="143"/>
      <c r="L432" s="84">
        <f>SUM(L417:L431)</f>
        <v>1026.22</v>
      </c>
      <c r="M432" s="144">
        <f>3351.95+18527.31</f>
        <v>21879.260000000002</v>
      </c>
      <c r="N432" s="156"/>
      <c r="O432" s="157" t="s">
        <v>88</v>
      </c>
      <c r="P432" s="57"/>
    </row>
    <row r="433" spans="1:16" s="87" customFormat="1" ht="15" customHeight="1">
      <c r="A433" s="381" t="s">
        <v>85</v>
      </c>
      <c r="B433" s="381"/>
      <c r="C433" s="48"/>
      <c r="D433" s="48"/>
      <c r="E433" s="48"/>
      <c r="F433" s="48"/>
      <c r="G433" s="48"/>
      <c r="H433" s="48"/>
      <c r="I433" s="48"/>
      <c r="J433" s="48"/>
      <c r="K433" s="48"/>
      <c r="L433" s="48"/>
      <c r="M433" s="48"/>
      <c r="N433" s="131"/>
      <c r="O433" s="132"/>
      <c r="P433" s="133"/>
    </row>
    <row r="434" spans="1:32" s="136" customFormat="1" ht="44.25" customHeight="1">
      <c r="A434" s="52" t="s">
        <v>2</v>
      </c>
      <c r="B434" s="52" t="s">
        <v>1</v>
      </c>
      <c r="C434" s="52" t="s">
        <v>3</v>
      </c>
      <c r="D434" s="52" t="s">
        <v>120</v>
      </c>
      <c r="E434" s="52" t="s">
        <v>90</v>
      </c>
      <c r="F434" s="52" t="s">
        <v>91</v>
      </c>
      <c r="G434" s="52" t="s">
        <v>140</v>
      </c>
      <c r="H434" s="52" t="s">
        <v>127</v>
      </c>
      <c r="I434" s="52" t="s">
        <v>159</v>
      </c>
      <c r="J434" s="52" t="s">
        <v>119</v>
      </c>
      <c r="K434" s="52" t="s">
        <v>137</v>
      </c>
      <c r="L434" s="52" t="s">
        <v>173</v>
      </c>
      <c r="M434" s="52" t="s">
        <v>19</v>
      </c>
      <c r="N434" s="134"/>
      <c r="O434" s="134"/>
      <c r="P434" s="135"/>
      <c r="Q434" s="135"/>
      <c r="R434" s="135"/>
      <c r="S434" s="135"/>
      <c r="T434" s="135"/>
      <c r="U434" s="135"/>
      <c r="V434" s="135"/>
      <c r="W434" s="135"/>
      <c r="X434" s="135"/>
      <c r="Y434" s="135"/>
      <c r="Z434" s="135"/>
      <c r="AA434" s="135"/>
      <c r="AB434" s="135"/>
      <c r="AC434" s="135"/>
      <c r="AD434" s="135"/>
      <c r="AE434" s="135"/>
      <c r="AF434" s="135"/>
    </row>
    <row r="435" spans="1:13" ht="15" customHeight="1">
      <c r="A435" s="357"/>
      <c r="B435" s="357"/>
      <c r="C435" s="364"/>
      <c r="D435" s="147">
        <v>1</v>
      </c>
      <c r="E435" s="146">
        <v>1</v>
      </c>
      <c r="F435" s="146"/>
      <c r="G435" s="147">
        <v>1</v>
      </c>
      <c r="H435" s="146"/>
      <c r="I435" s="146"/>
      <c r="J435" s="139">
        <v>1961</v>
      </c>
      <c r="K435" s="139" t="s">
        <v>138</v>
      </c>
      <c r="L435" s="158">
        <v>20</v>
      </c>
      <c r="M435" s="140">
        <f>74937.95/3291.3*L435</f>
        <v>455.36991462340103</v>
      </c>
    </row>
    <row r="436" spans="1:13" ht="15" customHeight="1">
      <c r="A436" s="363"/>
      <c r="B436" s="357"/>
      <c r="C436" s="364"/>
      <c r="D436" s="147">
        <v>1</v>
      </c>
      <c r="E436" s="146">
        <v>1</v>
      </c>
      <c r="F436" s="146"/>
      <c r="G436" s="147">
        <v>1</v>
      </c>
      <c r="H436" s="146"/>
      <c r="I436" s="146"/>
      <c r="J436" s="139">
        <v>1941</v>
      </c>
      <c r="K436" s="139" t="s">
        <v>139</v>
      </c>
      <c r="L436" s="158">
        <v>14.38</v>
      </c>
      <c r="M436" s="140">
        <f aca="true" t="shared" si="10" ref="M436:M499">74937.95/3291.3*L436</f>
        <v>327.4109686142254</v>
      </c>
    </row>
    <row r="437" spans="1:13" ht="15" customHeight="1">
      <c r="A437" s="363"/>
      <c r="B437" s="357"/>
      <c r="C437" s="364"/>
      <c r="D437" s="147">
        <v>1</v>
      </c>
      <c r="E437" s="146"/>
      <c r="F437" s="146">
        <v>1</v>
      </c>
      <c r="G437" s="147">
        <v>1</v>
      </c>
      <c r="H437" s="146"/>
      <c r="I437" s="146"/>
      <c r="J437" s="139">
        <v>1925</v>
      </c>
      <c r="K437" s="139" t="s">
        <v>139</v>
      </c>
      <c r="L437" s="158">
        <v>186.05</v>
      </c>
      <c r="M437" s="140">
        <f t="shared" si="10"/>
        <v>4236.078630784188</v>
      </c>
    </row>
    <row r="438" spans="1:13" ht="15" customHeight="1">
      <c r="A438" s="363"/>
      <c r="B438" s="357"/>
      <c r="C438" s="364"/>
      <c r="D438" s="147">
        <v>1</v>
      </c>
      <c r="E438" s="146"/>
      <c r="F438" s="146">
        <v>1</v>
      </c>
      <c r="G438" s="147">
        <v>1</v>
      </c>
      <c r="H438" s="146"/>
      <c r="I438" s="146"/>
      <c r="J438" s="139">
        <v>1929</v>
      </c>
      <c r="K438" s="139" t="s">
        <v>139</v>
      </c>
      <c r="L438" s="158">
        <v>7.05</v>
      </c>
      <c r="M438" s="140">
        <f t="shared" si="10"/>
        <v>160.51789490474886</v>
      </c>
    </row>
    <row r="439" spans="1:13" ht="12.75">
      <c r="A439" s="363"/>
      <c r="B439" s="357"/>
      <c r="C439" s="364"/>
      <c r="D439" s="147">
        <v>1</v>
      </c>
      <c r="E439" s="147"/>
      <c r="F439" s="147">
        <v>1</v>
      </c>
      <c r="G439" s="147">
        <v>1</v>
      </c>
      <c r="H439" s="55"/>
      <c r="I439" s="55"/>
      <c r="J439" s="139">
        <v>1940</v>
      </c>
      <c r="K439" s="139" t="s">
        <v>139</v>
      </c>
      <c r="L439" s="158">
        <v>26.5</v>
      </c>
      <c r="M439" s="140">
        <f t="shared" si="10"/>
        <v>603.3651368760064</v>
      </c>
    </row>
    <row r="440" spans="1:13" ht="12.75">
      <c r="A440" s="363"/>
      <c r="B440" s="357"/>
      <c r="C440" s="364"/>
      <c r="D440" s="147">
        <v>1</v>
      </c>
      <c r="E440" s="147">
        <v>1</v>
      </c>
      <c r="F440" s="147"/>
      <c r="G440" s="147">
        <v>1</v>
      </c>
      <c r="H440" s="55"/>
      <c r="I440" s="55"/>
      <c r="J440" s="139">
        <v>1934</v>
      </c>
      <c r="K440" s="139" t="s">
        <v>138</v>
      </c>
      <c r="L440" s="158">
        <v>5</v>
      </c>
      <c r="M440" s="140">
        <f t="shared" si="10"/>
        <v>113.84247865585026</v>
      </c>
    </row>
    <row r="441" spans="1:13" ht="12.75">
      <c r="A441" s="363"/>
      <c r="B441" s="357"/>
      <c r="C441" s="364"/>
      <c r="D441" s="147">
        <v>1</v>
      </c>
      <c r="E441" s="147">
        <v>1</v>
      </c>
      <c r="F441" s="147"/>
      <c r="G441" s="147">
        <v>1</v>
      </c>
      <c r="H441" s="55"/>
      <c r="I441" s="55"/>
      <c r="J441" s="139">
        <v>1927</v>
      </c>
      <c r="K441" s="139" t="s">
        <v>139</v>
      </c>
      <c r="L441" s="158">
        <v>11.37</v>
      </c>
      <c r="M441" s="140">
        <f t="shared" si="10"/>
        <v>258.87779646340346</v>
      </c>
    </row>
    <row r="442" spans="1:13" ht="12.75">
      <c r="A442" s="363"/>
      <c r="B442" s="357"/>
      <c r="C442" s="364"/>
      <c r="D442" s="147">
        <v>1</v>
      </c>
      <c r="E442" s="147">
        <v>1</v>
      </c>
      <c r="F442" s="147"/>
      <c r="G442" s="147">
        <v>1</v>
      </c>
      <c r="H442" s="55"/>
      <c r="I442" s="55"/>
      <c r="J442" s="139">
        <v>1924</v>
      </c>
      <c r="K442" s="139" t="s">
        <v>139</v>
      </c>
      <c r="L442" s="158">
        <v>11.35</v>
      </c>
      <c r="M442" s="140">
        <f t="shared" si="10"/>
        <v>258.4224265487801</v>
      </c>
    </row>
    <row r="443" spans="1:13" ht="12.75">
      <c r="A443" s="363"/>
      <c r="B443" s="357"/>
      <c r="C443" s="364"/>
      <c r="D443" s="147">
        <v>1</v>
      </c>
      <c r="E443" s="147"/>
      <c r="F443" s="147">
        <v>1</v>
      </c>
      <c r="G443" s="147">
        <v>1</v>
      </c>
      <c r="H443" s="55"/>
      <c r="I443" s="55"/>
      <c r="J443" s="139">
        <v>1941</v>
      </c>
      <c r="K443" s="139" t="s">
        <v>139</v>
      </c>
      <c r="L443" s="158">
        <v>13.15</v>
      </c>
      <c r="M443" s="140">
        <f t="shared" si="10"/>
        <v>299.4057188648862</v>
      </c>
    </row>
    <row r="444" spans="1:13" ht="12.75">
      <c r="A444" s="363"/>
      <c r="B444" s="357"/>
      <c r="C444" s="364"/>
      <c r="D444" s="147">
        <v>1</v>
      </c>
      <c r="E444" s="147"/>
      <c r="F444" s="147">
        <v>1</v>
      </c>
      <c r="G444" s="147"/>
      <c r="H444" s="147">
        <v>1</v>
      </c>
      <c r="I444" s="96" t="s">
        <v>116</v>
      </c>
      <c r="J444" s="139">
        <v>1927</v>
      </c>
      <c r="K444" s="139" t="s">
        <v>139</v>
      </c>
      <c r="L444" s="158">
        <v>29.08</v>
      </c>
      <c r="M444" s="140">
        <f t="shared" si="10"/>
        <v>662.107855862425</v>
      </c>
    </row>
    <row r="445" spans="1:13" ht="12.75">
      <c r="A445" s="363"/>
      <c r="B445" s="357"/>
      <c r="C445" s="364"/>
      <c r="D445" s="147">
        <v>1</v>
      </c>
      <c r="E445" s="147">
        <v>1</v>
      </c>
      <c r="F445" s="147"/>
      <c r="G445" s="147">
        <v>1</v>
      </c>
      <c r="H445" s="55"/>
      <c r="I445" s="55"/>
      <c r="J445" s="139">
        <v>1944</v>
      </c>
      <c r="K445" s="139" t="s">
        <v>139</v>
      </c>
      <c r="L445" s="158">
        <v>41.14</v>
      </c>
      <c r="M445" s="140">
        <f t="shared" si="10"/>
        <v>936.6959143803359</v>
      </c>
    </row>
    <row r="446" spans="1:13" ht="12.75">
      <c r="A446" s="363"/>
      <c r="B446" s="357"/>
      <c r="C446" s="364"/>
      <c r="D446" s="147">
        <v>1</v>
      </c>
      <c r="E446" s="147"/>
      <c r="F446" s="147">
        <v>1</v>
      </c>
      <c r="G446" s="147">
        <v>1</v>
      </c>
      <c r="H446" s="55"/>
      <c r="I446" s="55"/>
      <c r="J446" s="139">
        <v>1922</v>
      </c>
      <c r="K446" s="139" t="s">
        <v>139</v>
      </c>
      <c r="L446" s="158">
        <v>6.18</v>
      </c>
      <c r="M446" s="140">
        <f t="shared" si="10"/>
        <v>140.7093036186309</v>
      </c>
    </row>
    <row r="447" spans="1:13" ht="12.75">
      <c r="A447" s="363"/>
      <c r="B447" s="357"/>
      <c r="C447" s="364"/>
      <c r="D447" s="147">
        <v>1</v>
      </c>
      <c r="E447" s="147"/>
      <c r="F447" s="147">
        <v>1</v>
      </c>
      <c r="G447" s="147">
        <v>1</v>
      </c>
      <c r="H447" s="55"/>
      <c r="I447" s="55"/>
      <c r="J447" s="139">
        <v>1927</v>
      </c>
      <c r="K447" s="139" t="s">
        <v>139</v>
      </c>
      <c r="L447" s="158">
        <v>263.56</v>
      </c>
      <c r="M447" s="140">
        <f t="shared" si="10"/>
        <v>6000.864734907179</v>
      </c>
    </row>
    <row r="448" spans="1:13" ht="12.75">
      <c r="A448" s="363"/>
      <c r="B448" s="357"/>
      <c r="C448" s="364"/>
      <c r="D448" s="147">
        <v>1</v>
      </c>
      <c r="E448" s="147">
        <v>1</v>
      </c>
      <c r="F448" s="147"/>
      <c r="G448" s="147">
        <v>1</v>
      </c>
      <c r="H448" s="55"/>
      <c r="I448" s="55"/>
      <c r="J448" s="139">
        <v>1932</v>
      </c>
      <c r="K448" s="139" t="s">
        <v>138</v>
      </c>
      <c r="L448" s="158">
        <v>12</v>
      </c>
      <c r="M448" s="140">
        <f t="shared" si="10"/>
        <v>273.22194877404064</v>
      </c>
    </row>
    <row r="449" spans="1:13" ht="12.75">
      <c r="A449" s="363"/>
      <c r="B449" s="357"/>
      <c r="C449" s="364"/>
      <c r="D449" s="147">
        <v>1</v>
      </c>
      <c r="E449" s="147">
        <v>1</v>
      </c>
      <c r="F449" s="147"/>
      <c r="G449" s="147">
        <v>1</v>
      </c>
      <c r="H449" s="55"/>
      <c r="I449" s="55"/>
      <c r="J449" s="139">
        <v>1930</v>
      </c>
      <c r="K449" s="139" t="s">
        <v>139</v>
      </c>
      <c r="L449" s="158">
        <v>41.8</v>
      </c>
      <c r="M449" s="140">
        <f t="shared" si="10"/>
        <v>951.7231215629081</v>
      </c>
    </row>
    <row r="450" spans="1:13" ht="12.75">
      <c r="A450" s="363"/>
      <c r="B450" s="357"/>
      <c r="C450" s="364"/>
      <c r="D450" s="147">
        <v>1</v>
      </c>
      <c r="E450" s="147">
        <v>1</v>
      </c>
      <c r="F450" s="147"/>
      <c r="G450" s="147">
        <v>1</v>
      </c>
      <c r="H450" s="55"/>
      <c r="I450" s="55"/>
      <c r="J450" s="139">
        <v>1914</v>
      </c>
      <c r="K450" s="139" t="s">
        <v>139</v>
      </c>
      <c r="L450" s="158">
        <v>10.34</v>
      </c>
      <c r="M450" s="140">
        <f t="shared" si="10"/>
        <v>235.42624586029834</v>
      </c>
    </row>
    <row r="451" spans="1:13" ht="12.75">
      <c r="A451" s="363"/>
      <c r="B451" s="357"/>
      <c r="C451" s="364"/>
      <c r="D451" s="147">
        <v>1</v>
      </c>
      <c r="E451" s="147">
        <v>1</v>
      </c>
      <c r="F451" s="147"/>
      <c r="G451" s="147">
        <v>1</v>
      </c>
      <c r="H451" s="55"/>
      <c r="I451" s="55"/>
      <c r="J451" s="139">
        <v>1923</v>
      </c>
      <c r="K451" s="139" t="s">
        <v>139</v>
      </c>
      <c r="L451" s="158">
        <v>142.75</v>
      </c>
      <c r="M451" s="140">
        <f t="shared" si="10"/>
        <v>3250.202765624525</v>
      </c>
    </row>
    <row r="452" spans="1:13" ht="12.75">
      <c r="A452" s="357"/>
      <c r="B452" s="357"/>
      <c r="C452" s="364"/>
      <c r="D452" s="147">
        <v>1</v>
      </c>
      <c r="E452" s="147"/>
      <c r="F452" s="147">
        <v>1</v>
      </c>
      <c r="G452" s="147">
        <v>1</v>
      </c>
      <c r="H452" s="55"/>
      <c r="I452" s="55"/>
      <c r="J452" s="139">
        <v>1964</v>
      </c>
      <c r="K452" s="139" t="s">
        <v>138</v>
      </c>
      <c r="L452" s="158">
        <v>155.43</v>
      </c>
      <c r="M452" s="140">
        <f t="shared" si="10"/>
        <v>3538.9072914957615</v>
      </c>
    </row>
    <row r="453" spans="1:13" ht="12.75">
      <c r="A453" s="363"/>
      <c r="B453" s="357"/>
      <c r="C453" s="364"/>
      <c r="D453" s="147">
        <v>1</v>
      </c>
      <c r="E453" s="147">
        <v>1</v>
      </c>
      <c r="F453" s="147"/>
      <c r="G453" s="147">
        <v>1</v>
      </c>
      <c r="H453" s="55"/>
      <c r="I453" s="55"/>
      <c r="J453" s="139">
        <v>1940</v>
      </c>
      <c r="K453" s="139" t="s">
        <v>139</v>
      </c>
      <c r="L453" s="158">
        <v>6.41</v>
      </c>
      <c r="M453" s="140">
        <f t="shared" si="10"/>
        <v>145.94605763680005</v>
      </c>
    </row>
    <row r="454" spans="1:13" ht="12.75">
      <c r="A454" s="363"/>
      <c r="B454" s="357"/>
      <c r="C454" s="364"/>
      <c r="D454" s="147">
        <v>1</v>
      </c>
      <c r="E454" s="147">
        <v>1</v>
      </c>
      <c r="F454" s="147"/>
      <c r="G454" s="147">
        <v>1</v>
      </c>
      <c r="H454" s="55"/>
      <c r="I454" s="55"/>
      <c r="J454" s="139">
        <v>1931</v>
      </c>
      <c r="K454" s="139" t="s">
        <v>139</v>
      </c>
      <c r="L454" s="158">
        <v>8.08</v>
      </c>
      <c r="M454" s="140">
        <f t="shared" si="10"/>
        <v>183.96944550785403</v>
      </c>
    </row>
    <row r="455" spans="1:13" ht="12.75">
      <c r="A455" s="363"/>
      <c r="B455" s="357"/>
      <c r="C455" s="364"/>
      <c r="D455" s="147">
        <v>1</v>
      </c>
      <c r="E455" s="147">
        <v>1</v>
      </c>
      <c r="F455" s="147"/>
      <c r="G455" s="147">
        <v>1</v>
      </c>
      <c r="H455" s="55"/>
      <c r="I455" s="55"/>
      <c r="J455" s="139">
        <v>1926</v>
      </c>
      <c r="K455" s="139" t="s">
        <v>138</v>
      </c>
      <c r="L455" s="158">
        <v>6</v>
      </c>
      <c r="M455" s="140">
        <f t="shared" si="10"/>
        <v>136.61097438702032</v>
      </c>
    </row>
    <row r="456" spans="1:13" ht="12.75">
      <c r="A456" s="357"/>
      <c r="B456" s="357"/>
      <c r="C456" s="364"/>
      <c r="D456" s="147">
        <v>1</v>
      </c>
      <c r="E456" s="147">
        <v>1</v>
      </c>
      <c r="F456" s="147"/>
      <c r="G456" s="147">
        <v>1</v>
      </c>
      <c r="H456" s="55"/>
      <c r="I456" s="55"/>
      <c r="J456" s="139">
        <v>1963</v>
      </c>
      <c r="K456" s="139" t="s">
        <v>138</v>
      </c>
      <c r="L456" s="158">
        <v>12</v>
      </c>
      <c r="M456" s="140">
        <f t="shared" si="10"/>
        <v>273.22194877404064</v>
      </c>
    </row>
    <row r="457" spans="1:13" ht="12.75">
      <c r="A457" s="357"/>
      <c r="B457" s="357"/>
      <c r="C457" s="364"/>
      <c r="D457" s="147">
        <v>1</v>
      </c>
      <c r="E457" s="147"/>
      <c r="F457" s="147">
        <v>1</v>
      </c>
      <c r="G457" s="147">
        <v>1</v>
      </c>
      <c r="H457" s="55"/>
      <c r="I457" s="55"/>
      <c r="J457" s="139">
        <v>1934</v>
      </c>
      <c r="K457" s="139" t="s">
        <v>139</v>
      </c>
      <c r="L457" s="158">
        <v>1.45</v>
      </c>
      <c r="M457" s="140">
        <f t="shared" si="10"/>
        <v>33.01431881019658</v>
      </c>
    </row>
    <row r="458" spans="1:13" ht="12.75">
      <c r="A458" s="357"/>
      <c r="B458" s="357"/>
      <c r="C458" s="364"/>
      <c r="D458" s="147">
        <v>1</v>
      </c>
      <c r="E458" s="147"/>
      <c r="F458" s="147">
        <v>1</v>
      </c>
      <c r="G458" s="147">
        <v>1</v>
      </c>
      <c r="H458" s="55"/>
      <c r="I458" s="55"/>
      <c r="J458" s="139">
        <v>1925</v>
      </c>
      <c r="K458" s="139" t="s">
        <v>139</v>
      </c>
      <c r="L458" s="158">
        <v>8.11</v>
      </c>
      <c r="M458" s="140">
        <f t="shared" si="10"/>
        <v>184.6525003797891</v>
      </c>
    </row>
    <row r="459" spans="1:13" ht="12.75">
      <c r="A459" s="363"/>
      <c r="B459" s="357"/>
      <c r="C459" s="364"/>
      <c r="D459" s="147">
        <v>1</v>
      </c>
      <c r="E459" s="147"/>
      <c r="F459" s="147">
        <v>1</v>
      </c>
      <c r="G459" s="147">
        <v>1</v>
      </c>
      <c r="H459" s="55"/>
      <c r="I459" s="55"/>
      <c r="J459" s="139">
        <v>1930</v>
      </c>
      <c r="K459" s="139" t="s">
        <v>139</v>
      </c>
      <c r="L459" s="158">
        <v>101.44</v>
      </c>
      <c r="M459" s="140">
        <f t="shared" si="10"/>
        <v>2309.63620696989</v>
      </c>
    </row>
    <row r="460" spans="1:13" ht="12.75">
      <c r="A460" s="363"/>
      <c r="B460" s="357"/>
      <c r="C460" s="364"/>
      <c r="D460" s="147">
        <v>1</v>
      </c>
      <c r="E460" s="147">
        <v>1</v>
      </c>
      <c r="F460" s="147"/>
      <c r="G460" s="147">
        <v>1</v>
      </c>
      <c r="H460" s="55"/>
      <c r="I460" s="55"/>
      <c r="J460" s="139">
        <v>1934</v>
      </c>
      <c r="K460" s="139" t="s">
        <v>139</v>
      </c>
      <c r="L460" s="158">
        <v>105.27</v>
      </c>
      <c r="M460" s="140">
        <f t="shared" si="10"/>
        <v>2396.839545620271</v>
      </c>
    </row>
    <row r="461" spans="1:13" ht="12.75">
      <c r="A461" s="363"/>
      <c r="B461" s="357"/>
      <c r="C461" s="364"/>
      <c r="D461" s="147">
        <v>1</v>
      </c>
      <c r="E461" s="147"/>
      <c r="F461" s="147">
        <v>1</v>
      </c>
      <c r="G461" s="147">
        <v>1</v>
      </c>
      <c r="H461" s="55"/>
      <c r="I461" s="55"/>
      <c r="J461" s="139">
        <v>1940</v>
      </c>
      <c r="K461" s="139" t="s">
        <v>139</v>
      </c>
      <c r="L461" s="158">
        <v>30.22</v>
      </c>
      <c r="M461" s="140">
        <f t="shared" si="10"/>
        <v>688.063940995959</v>
      </c>
    </row>
    <row r="462" spans="1:13" ht="12.75">
      <c r="A462" s="363"/>
      <c r="B462" s="357"/>
      <c r="C462" s="364"/>
      <c r="D462" s="147">
        <v>1</v>
      </c>
      <c r="E462" s="147"/>
      <c r="F462" s="147">
        <v>1</v>
      </c>
      <c r="G462" s="147">
        <v>1</v>
      </c>
      <c r="H462" s="55"/>
      <c r="I462" s="55"/>
      <c r="J462" s="139">
        <v>1928</v>
      </c>
      <c r="K462" s="139" t="s">
        <v>139</v>
      </c>
      <c r="L462" s="158">
        <v>10</v>
      </c>
      <c r="M462" s="140">
        <f t="shared" si="10"/>
        <v>227.68495731170051</v>
      </c>
    </row>
    <row r="463" spans="1:13" ht="12.75">
      <c r="A463" s="363"/>
      <c r="B463" s="357"/>
      <c r="C463" s="364"/>
      <c r="D463" s="147">
        <v>1</v>
      </c>
      <c r="E463" s="147"/>
      <c r="F463" s="147">
        <v>1</v>
      </c>
      <c r="G463" s="147">
        <v>1</v>
      </c>
      <c r="H463" s="55"/>
      <c r="I463" s="55"/>
      <c r="J463" s="139">
        <v>1937</v>
      </c>
      <c r="K463" s="139" t="s">
        <v>139</v>
      </c>
      <c r="L463" s="158">
        <v>11.07</v>
      </c>
      <c r="M463" s="140">
        <f t="shared" si="10"/>
        <v>252.0472477440525</v>
      </c>
    </row>
    <row r="464" spans="1:13" ht="12.75">
      <c r="A464" s="363"/>
      <c r="B464" s="357"/>
      <c r="C464" s="364"/>
      <c r="D464" s="147">
        <v>1</v>
      </c>
      <c r="E464" s="147">
        <v>1</v>
      </c>
      <c r="F464" s="147"/>
      <c r="G464" s="147">
        <v>1</v>
      </c>
      <c r="H464" s="55"/>
      <c r="I464" s="55"/>
      <c r="J464" s="139">
        <v>1940</v>
      </c>
      <c r="K464" s="139" t="s">
        <v>138</v>
      </c>
      <c r="L464" s="158">
        <v>56.28</v>
      </c>
      <c r="M464" s="140">
        <f t="shared" si="10"/>
        <v>1281.4109397502505</v>
      </c>
    </row>
    <row r="465" spans="1:13" ht="12.75">
      <c r="A465" s="363"/>
      <c r="B465" s="357"/>
      <c r="C465" s="364"/>
      <c r="D465" s="147">
        <v>1</v>
      </c>
      <c r="E465" s="147">
        <v>1</v>
      </c>
      <c r="F465" s="147"/>
      <c r="G465" s="147">
        <v>1</v>
      </c>
      <c r="H465" s="55"/>
      <c r="I465" s="55"/>
      <c r="J465" s="139">
        <v>1938</v>
      </c>
      <c r="K465" s="139" t="s">
        <v>139</v>
      </c>
      <c r="L465" s="158">
        <v>9.42</v>
      </c>
      <c r="M465" s="140">
        <f t="shared" si="10"/>
        <v>214.4792297876219</v>
      </c>
    </row>
    <row r="466" spans="1:13" ht="12.75">
      <c r="A466" s="363"/>
      <c r="B466" s="357"/>
      <c r="C466" s="364"/>
      <c r="D466" s="147">
        <v>1</v>
      </c>
      <c r="E466" s="147">
        <v>1</v>
      </c>
      <c r="F466" s="147"/>
      <c r="G466" s="147">
        <v>1</v>
      </c>
      <c r="H466" s="55"/>
      <c r="I466" s="55"/>
      <c r="J466" s="139">
        <v>1932</v>
      </c>
      <c r="K466" s="139" t="s">
        <v>139</v>
      </c>
      <c r="L466" s="158">
        <v>57.67</v>
      </c>
      <c r="M466" s="140">
        <f t="shared" si="10"/>
        <v>1313.059148816577</v>
      </c>
    </row>
    <row r="467" spans="1:13" ht="12.75">
      <c r="A467" s="363"/>
      <c r="B467" s="357"/>
      <c r="C467" s="364"/>
      <c r="D467" s="147">
        <v>1</v>
      </c>
      <c r="E467" s="147"/>
      <c r="F467" s="147">
        <v>1</v>
      </c>
      <c r="G467" s="147">
        <v>1</v>
      </c>
      <c r="H467" s="55"/>
      <c r="I467" s="55"/>
      <c r="J467" s="139">
        <v>1932</v>
      </c>
      <c r="K467" s="139" t="s">
        <v>139</v>
      </c>
      <c r="L467" s="158">
        <v>2.5</v>
      </c>
      <c r="M467" s="140">
        <f t="shared" si="10"/>
        <v>56.92123932792513</v>
      </c>
    </row>
    <row r="468" spans="1:13" ht="12.75">
      <c r="A468" s="363"/>
      <c r="B468" s="357"/>
      <c r="C468" s="364"/>
      <c r="D468" s="147">
        <v>1</v>
      </c>
      <c r="E468" s="147"/>
      <c r="F468" s="147">
        <v>1</v>
      </c>
      <c r="G468" s="147">
        <v>1</v>
      </c>
      <c r="H468" s="55"/>
      <c r="I468" s="55"/>
      <c r="J468" s="139">
        <v>1936</v>
      </c>
      <c r="K468" s="139" t="s">
        <v>139</v>
      </c>
      <c r="L468" s="158">
        <v>48.92</v>
      </c>
      <c r="M468" s="140">
        <f t="shared" si="10"/>
        <v>1113.834811168839</v>
      </c>
    </row>
    <row r="469" spans="1:13" ht="12.75">
      <c r="A469" s="363"/>
      <c r="B469" s="357"/>
      <c r="C469" s="364"/>
      <c r="D469" s="147">
        <v>1</v>
      </c>
      <c r="E469" s="147"/>
      <c r="F469" s="147">
        <v>1</v>
      </c>
      <c r="G469" s="147"/>
      <c r="H469" s="147">
        <v>1</v>
      </c>
      <c r="I469" s="96" t="s">
        <v>4</v>
      </c>
      <c r="J469" s="139">
        <v>1924</v>
      </c>
      <c r="K469" s="139" t="s">
        <v>139</v>
      </c>
      <c r="L469" s="158">
        <v>182.22</v>
      </c>
      <c r="M469" s="140">
        <f t="shared" si="10"/>
        <v>4148.875292133807</v>
      </c>
    </row>
    <row r="470" spans="1:13" ht="12.75">
      <c r="A470" s="363"/>
      <c r="B470" s="357"/>
      <c r="C470" s="364"/>
      <c r="D470" s="147">
        <v>1</v>
      </c>
      <c r="E470" s="147"/>
      <c r="F470" s="147">
        <v>1</v>
      </c>
      <c r="G470" s="147"/>
      <c r="H470" s="147">
        <v>1</v>
      </c>
      <c r="I470" s="96" t="s">
        <v>27</v>
      </c>
      <c r="J470" s="139">
        <v>1936</v>
      </c>
      <c r="K470" s="139" t="s">
        <v>138</v>
      </c>
      <c r="L470" s="158">
        <v>10</v>
      </c>
      <c r="M470" s="140">
        <f t="shared" si="10"/>
        <v>227.68495731170051</v>
      </c>
    </row>
    <row r="471" spans="1:13" ht="12.75">
      <c r="A471" s="363"/>
      <c r="B471" s="357"/>
      <c r="C471" s="364"/>
      <c r="D471" s="147">
        <v>1</v>
      </c>
      <c r="E471" s="147">
        <v>1</v>
      </c>
      <c r="F471" s="147"/>
      <c r="G471" s="147">
        <v>1</v>
      </c>
      <c r="H471" s="55"/>
      <c r="I471" s="55"/>
      <c r="J471" s="139">
        <v>1935</v>
      </c>
      <c r="K471" s="139" t="s">
        <v>139</v>
      </c>
      <c r="L471" s="158">
        <v>40.59</v>
      </c>
      <c r="M471" s="140">
        <f t="shared" si="10"/>
        <v>924.1732417281925</v>
      </c>
    </row>
    <row r="472" spans="1:13" ht="12.75">
      <c r="A472" s="363"/>
      <c r="B472" s="357"/>
      <c r="C472" s="364"/>
      <c r="D472" s="147">
        <v>1</v>
      </c>
      <c r="E472" s="147"/>
      <c r="F472" s="147">
        <v>1</v>
      </c>
      <c r="G472" s="147">
        <v>1</v>
      </c>
      <c r="H472" s="55"/>
      <c r="I472" s="55"/>
      <c r="J472" s="139">
        <v>1930</v>
      </c>
      <c r="K472" s="139" t="s">
        <v>139</v>
      </c>
      <c r="L472" s="158">
        <v>51.97</v>
      </c>
      <c r="M472" s="140">
        <f t="shared" si="10"/>
        <v>1183.2787231489076</v>
      </c>
    </row>
    <row r="473" spans="1:13" ht="12.75">
      <c r="A473" s="363"/>
      <c r="B473" s="357"/>
      <c r="C473" s="364"/>
      <c r="D473" s="147">
        <v>1</v>
      </c>
      <c r="E473" s="147"/>
      <c r="F473" s="147">
        <v>1</v>
      </c>
      <c r="G473" s="147">
        <v>1</v>
      </c>
      <c r="H473" s="55"/>
      <c r="I473" s="55"/>
      <c r="J473" s="139">
        <v>1924</v>
      </c>
      <c r="K473" s="139" t="s">
        <v>139</v>
      </c>
      <c r="L473" s="158">
        <v>40.16</v>
      </c>
      <c r="M473" s="140">
        <f t="shared" si="10"/>
        <v>914.3827885637892</v>
      </c>
    </row>
    <row r="474" spans="1:13" ht="12.75">
      <c r="A474" s="363"/>
      <c r="B474" s="357"/>
      <c r="C474" s="364"/>
      <c r="D474" s="147">
        <v>1</v>
      </c>
      <c r="E474" s="147"/>
      <c r="F474" s="147">
        <v>1</v>
      </c>
      <c r="G474" s="147">
        <v>1</v>
      </c>
      <c r="H474" s="55"/>
      <c r="I474" s="55"/>
      <c r="J474" s="139">
        <v>1918</v>
      </c>
      <c r="K474" s="139" t="s">
        <v>139</v>
      </c>
      <c r="L474" s="158">
        <v>54.15</v>
      </c>
      <c r="M474" s="140">
        <f t="shared" si="10"/>
        <v>1232.9140438428583</v>
      </c>
    </row>
    <row r="475" spans="1:13" ht="12.75">
      <c r="A475" s="363"/>
      <c r="B475" s="357"/>
      <c r="C475" s="364"/>
      <c r="D475" s="147">
        <v>1</v>
      </c>
      <c r="E475" s="147"/>
      <c r="F475" s="147">
        <v>1</v>
      </c>
      <c r="G475" s="147">
        <v>1</v>
      </c>
      <c r="H475" s="55"/>
      <c r="I475" s="55"/>
      <c r="J475" s="139">
        <v>1931</v>
      </c>
      <c r="K475" s="139" t="s">
        <v>138</v>
      </c>
      <c r="L475" s="158">
        <v>21.83</v>
      </c>
      <c r="M475" s="140">
        <f t="shared" si="10"/>
        <v>497.0362618114422</v>
      </c>
    </row>
    <row r="476" spans="1:13" ht="12.75">
      <c r="A476" s="363"/>
      <c r="B476" s="357"/>
      <c r="C476" s="364"/>
      <c r="D476" s="147">
        <v>1</v>
      </c>
      <c r="E476" s="147"/>
      <c r="F476" s="147">
        <v>1</v>
      </c>
      <c r="G476" s="147">
        <v>1</v>
      </c>
      <c r="H476" s="55"/>
      <c r="I476" s="55"/>
      <c r="J476" s="139">
        <v>1939</v>
      </c>
      <c r="K476" s="139" t="s">
        <v>138</v>
      </c>
      <c r="L476" s="158">
        <v>28.21</v>
      </c>
      <c r="M476" s="140">
        <f t="shared" si="10"/>
        <v>642.2992645763072</v>
      </c>
    </row>
    <row r="477" spans="1:13" ht="12.75">
      <c r="A477" s="363"/>
      <c r="B477" s="357"/>
      <c r="C477" s="364"/>
      <c r="D477" s="147">
        <v>1</v>
      </c>
      <c r="E477" s="147"/>
      <c r="F477" s="147">
        <v>1</v>
      </c>
      <c r="G477" s="147">
        <v>1</v>
      </c>
      <c r="H477" s="55"/>
      <c r="I477" s="55"/>
      <c r="J477" s="139">
        <v>1937</v>
      </c>
      <c r="K477" s="139" t="s">
        <v>139</v>
      </c>
      <c r="L477" s="158">
        <v>14.63</v>
      </c>
      <c r="M477" s="140">
        <f t="shared" si="10"/>
        <v>333.10309254701787</v>
      </c>
    </row>
    <row r="478" spans="1:13" ht="12.75">
      <c r="A478" s="363"/>
      <c r="B478" s="357"/>
      <c r="C478" s="364"/>
      <c r="D478" s="147">
        <v>1</v>
      </c>
      <c r="E478" s="147"/>
      <c r="F478" s="147">
        <v>1</v>
      </c>
      <c r="G478" s="147">
        <v>1</v>
      </c>
      <c r="H478" s="55"/>
      <c r="I478" s="55"/>
      <c r="J478" s="139">
        <v>1928</v>
      </c>
      <c r="K478" s="139" t="s">
        <v>139</v>
      </c>
      <c r="L478" s="158">
        <v>4.36</v>
      </c>
      <c r="M478" s="140">
        <f t="shared" si="10"/>
        <v>99.27064138790143</v>
      </c>
    </row>
    <row r="479" spans="1:13" ht="12.75">
      <c r="A479" s="363"/>
      <c r="B479" s="357"/>
      <c r="C479" s="364"/>
      <c r="D479" s="147">
        <v>1</v>
      </c>
      <c r="E479" s="147"/>
      <c r="F479" s="147">
        <v>1</v>
      </c>
      <c r="G479" s="147">
        <v>1</v>
      </c>
      <c r="H479" s="55"/>
      <c r="I479" s="55"/>
      <c r="J479" s="139">
        <v>1925</v>
      </c>
      <c r="K479" s="139" t="s">
        <v>139</v>
      </c>
      <c r="L479" s="158">
        <v>150.12</v>
      </c>
      <c r="M479" s="140">
        <f t="shared" si="10"/>
        <v>3418.0065791632483</v>
      </c>
    </row>
    <row r="480" spans="1:13" ht="12.75">
      <c r="A480" s="363"/>
      <c r="B480" s="357"/>
      <c r="C480" s="364"/>
      <c r="D480" s="147">
        <v>1</v>
      </c>
      <c r="E480" s="147"/>
      <c r="F480" s="147">
        <v>1</v>
      </c>
      <c r="G480" s="147">
        <v>1</v>
      </c>
      <c r="H480" s="55"/>
      <c r="I480" s="55"/>
      <c r="J480" s="139">
        <v>1924</v>
      </c>
      <c r="K480" s="139" t="s">
        <v>139</v>
      </c>
      <c r="L480" s="158">
        <v>11.03</v>
      </c>
      <c r="M480" s="140">
        <f t="shared" si="10"/>
        <v>251.13650791480566</v>
      </c>
    </row>
    <row r="481" spans="1:13" ht="12.75">
      <c r="A481" s="363"/>
      <c r="B481" s="357"/>
      <c r="C481" s="364"/>
      <c r="D481" s="147">
        <v>1</v>
      </c>
      <c r="E481" s="147">
        <v>1</v>
      </c>
      <c r="F481" s="147"/>
      <c r="G481" s="147">
        <v>1</v>
      </c>
      <c r="H481" s="55"/>
      <c r="I481" s="55"/>
      <c r="J481" s="139">
        <v>1930</v>
      </c>
      <c r="K481" s="139" t="s">
        <v>139</v>
      </c>
      <c r="L481" s="158">
        <v>34.82</v>
      </c>
      <c r="M481" s="140">
        <f t="shared" si="10"/>
        <v>792.7990213593412</v>
      </c>
    </row>
    <row r="482" spans="1:13" ht="12.75">
      <c r="A482" s="363"/>
      <c r="B482" s="357"/>
      <c r="C482" s="364"/>
      <c r="D482" s="147">
        <v>1</v>
      </c>
      <c r="E482" s="147"/>
      <c r="F482" s="147">
        <v>1</v>
      </c>
      <c r="G482" s="147">
        <v>1</v>
      </c>
      <c r="H482" s="55"/>
      <c r="I482" s="55"/>
      <c r="J482" s="139">
        <v>1940</v>
      </c>
      <c r="K482" s="139" t="s">
        <v>139</v>
      </c>
      <c r="L482" s="158">
        <v>18.49</v>
      </c>
      <c r="M482" s="140">
        <f t="shared" si="10"/>
        <v>420.98948606933425</v>
      </c>
    </row>
    <row r="483" spans="1:13" ht="12.75">
      <c r="A483" s="363"/>
      <c r="B483" s="357"/>
      <c r="C483" s="364"/>
      <c r="D483" s="147">
        <v>1</v>
      </c>
      <c r="E483" s="147">
        <v>1</v>
      </c>
      <c r="F483" s="147"/>
      <c r="G483" s="147">
        <v>1</v>
      </c>
      <c r="H483" s="55"/>
      <c r="I483" s="55"/>
      <c r="J483" s="139">
        <v>1932</v>
      </c>
      <c r="K483" s="139" t="s">
        <v>139</v>
      </c>
      <c r="L483" s="158">
        <v>16.46</v>
      </c>
      <c r="M483" s="140">
        <f t="shared" si="10"/>
        <v>374.76943973505905</v>
      </c>
    </row>
    <row r="484" spans="1:13" ht="12.75">
      <c r="A484" s="363"/>
      <c r="B484" s="357"/>
      <c r="C484" s="364"/>
      <c r="D484" s="147">
        <v>1</v>
      </c>
      <c r="E484" s="147">
        <v>1</v>
      </c>
      <c r="F484" s="147"/>
      <c r="G484" s="147">
        <v>1</v>
      </c>
      <c r="H484" s="55"/>
      <c r="I484" s="55"/>
      <c r="J484" s="139">
        <v>1933</v>
      </c>
      <c r="K484" s="139" t="s">
        <v>139</v>
      </c>
      <c r="L484" s="158">
        <v>11.18</v>
      </c>
      <c r="M484" s="140">
        <f t="shared" si="10"/>
        <v>254.55178227448118</v>
      </c>
    </row>
    <row r="485" spans="1:13" ht="12.75">
      <c r="A485" s="363"/>
      <c r="B485" s="357"/>
      <c r="C485" s="364"/>
      <c r="D485" s="147">
        <v>1</v>
      </c>
      <c r="E485" s="147"/>
      <c r="F485" s="147">
        <v>1</v>
      </c>
      <c r="G485" s="147">
        <v>1</v>
      </c>
      <c r="H485" s="55"/>
      <c r="I485" s="55"/>
      <c r="J485" s="139">
        <v>1927</v>
      </c>
      <c r="K485" s="139" t="s">
        <v>139</v>
      </c>
      <c r="L485" s="158">
        <v>142.57</v>
      </c>
      <c r="M485" s="140">
        <f t="shared" si="10"/>
        <v>3246.104436392914</v>
      </c>
    </row>
    <row r="486" spans="1:13" ht="12.75">
      <c r="A486" s="363"/>
      <c r="B486" s="357"/>
      <c r="C486" s="364"/>
      <c r="D486" s="147">
        <v>1</v>
      </c>
      <c r="E486" s="147"/>
      <c r="F486" s="147">
        <v>1</v>
      </c>
      <c r="G486" s="147">
        <v>1</v>
      </c>
      <c r="H486" s="55"/>
      <c r="I486" s="55"/>
      <c r="J486" s="139">
        <v>1932</v>
      </c>
      <c r="K486" s="139" t="s">
        <v>139</v>
      </c>
      <c r="L486" s="158">
        <v>150.45</v>
      </c>
      <c r="M486" s="140">
        <f t="shared" si="10"/>
        <v>3425.5201827545343</v>
      </c>
    </row>
    <row r="487" spans="1:13" ht="12.75">
      <c r="A487" s="363"/>
      <c r="B487" s="357"/>
      <c r="C487" s="364"/>
      <c r="D487" s="147">
        <v>1</v>
      </c>
      <c r="E487" s="147"/>
      <c r="F487" s="147">
        <v>1</v>
      </c>
      <c r="G487" s="147">
        <v>1</v>
      </c>
      <c r="H487" s="55"/>
      <c r="I487" s="55"/>
      <c r="J487" s="139">
        <v>1915</v>
      </c>
      <c r="K487" s="139" t="s">
        <v>139</v>
      </c>
      <c r="L487" s="158">
        <v>11.55</v>
      </c>
      <c r="M487" s="140">
        <f t="shared" si="10"/>
        <v>262.9761256950141</v>
      </c>
    </row>
    <row r="488" spans="1:13" ht="12.75">
      <c r="A488" s="363"/>
      <c r="B488" s="357"/>
      <c r="C488" s="364"/>
      <c r="D488" s="147">
        <v>1</v>
      </c>
      <c r="E488" s="147"/>
      <c r="F488" s="147">
        <v>1</v>
      </c>
      <c r="G488" s="147">
        <v>1</v>
      </c>
      <c r="H488" s="55"/>
      <c r="I488" s="55"/>
      <c r="J488" s="139">
        <v>1927</v>
      </c>
      <c r="K488" s="139" t="s">
        <v>138</v>
      </c>
      <c r="L488" s="158">
        <v>13.53</v>
      </c>
      <c r="M488" s="140">
        <f t="shared" si="10"/>
        <v>308.0577472427308</v>
      </c>
    </row>
    <row r="489" spans="1:13" ht="12.75">
      <c r="A489" s="363"/>
      <c r="B489" s="357"/>
      <c r="C489" s="364"/>
      <c r="D489" s="147">
        <v>1</v>
      </c>
      <c r="E489" s="147"/>
      <c r="F489" s="147">
        <v>1</v>
      </c>
      <c r="G489" s="147">
        <v>1</v>
      </c>
      <c r="H489" s="55"/>
      <c r="I489" s="55"/>
      <c r="J489" s="139">
        <v>1924</v>
      </c>
      <c r="K489" s="139" t="s">
        <v>139</v>
      </c>
      <c r="L489" s="158">
        <v>130.79</v>
      </c>
      <c r="M489" s="140">
        <f t="shared" si="10"/>
        <v>2977.891556679731</v>
      </c>
    </row>
    <row r="490" spans="1:13" ht="12.75">
      <c r="A490" s="363"/>
      <c r="B490" s="357"/>
      <c r="C490" s="364"/>
      <c r="D490" s="147">
        <v>1</v>
      </c>
      <c r="E490" s="147">
        <v>1</v>
      </c>
      <c r="F490" s="147"/>
      <c r="G490" s="147">
        <v>1</v>
      </c>
      <c r="H490" s="55"/>
      <c r="I490" s="55"/>
      <c r="J490" s="139">
        <v>1939</v>
      </c>
      <c r="K490" s="139" t="s">
        <v>139</v>
      </c>
      <c r="L490" s="158">
        <v>5.77</v>
      </c>
      <c r="M490" s="140">
        <f t="shared" si="10"/>
        <v>131.37422036885118</v>
      </c>
    </row>
    <row r="491" spans="1:13" ht="12.75">
      <c r="A491" s="363"/>
      <c r="B491" s="357"/>
      <c r="C491" s="364"/>
      <c r="D491" s="147">
        <v>1</v>
      </c>
      <c r="E491" s="147">
        <v>1</v>
      </c>
      <c r="F491" s="147"/>
      <c r="G491" s="147">
        <v>1</v>
      </c>
      <c r="H491" s="55"/>
      <c r="I491" s="55"/>
      <c r="J491" s="139">
        <v>1935</v>
      </c>
      <c r="K491" s="139" t="s">
        <v>139</v>
      </c>
      <c r="L491" s="158">
        <v>23</v>
      </c>
      <c r="M491" s="140">
        <f t="shared" si="10"/>
        <v>523.6754018169112</v>
      </c>
    </row>
    <row r="492" spans="1:13" ht="12.75">
      <c r="A492" s="363"/>
      <c r="B492" s="357"/>
      <c r="C492" s="364"/>
      <c r="D492" s="147">
        <v>1</v>
      </c>
      <c r="E492" s="147">
        <v>1</v>
      </c>
      <c r="F492" s="147"/>
      <c r="G492" s="147">
        <v>1</v>
      </c>
      <c r="H492" s="55"/>
      <c r="I492" s="55"/>
      <c r="J492" s="139">
        <v>1939</v>
      </c>
      <c r="K492" s="139" t="s">
        <v>139</v>
      </c>
      <c r="L492" s="158">
        <v>79.79</v>
      </c>
      <c r="M492" s="140">
        <f t="shared" si="10"/>
        <v>1816.6982743900587</v>
      </c>
    </row>
    <row r="493" spans="1:13" ht="12.75">
      <c r="A493" s="363"/>
      <c r="B493" s="357"/>
      <c r="C493" s="364"/>
      <c r="D493" s="147">
        <v>1</v>
      </c>
      <c r="E493" s="147">
        <v>1</v>
      </c>
      <c r="F493" s="147"/>
      <c r="G493" s="147">
        <v>1</v>
      </c>
      <c r="H493" s="55"/>
      <c r="I493" s="55"/>
      <c r="J493" s="139">
        <v>1939</v>
      </c>
      <c r="K493" s="139" t="s">
        <v>139</v>
      </c>
      <c r="L493" s="158">
        <v>2.66</v>
      </c>
      <c r="M493" s="140">
        <f t="shared" si="10"/>
        <v>60.564198644912345</v>
      </c>
    </row>
    <row r="494" spans="1:13" ht="12.75">
      <c r="A494" s="363"/>
      <c r="B494" s="357"/>
      <c r="C494" s="364"/>
      <c r="D494" s="147">
        <v>1</v>
      </c>
      <c r="E494" s="147">
        <v>1</v>
      </c>
      <c r="F494" s="147"/>
      <c r="G494" s="147">
        <v>1</v>
      </c>
      <c r="H494" s="55"/>
      <c r="I494" s="55"/>
      <c r="J494" s="139">
        <v>1933</v>
      </c>
      <c r="K494" s="139" t="s">
        <v>138</v>
      </c>
      <c r="L494" s="158">
        <v>12</v>
      </c>
      <c r="M494" s="140">
        <f t="shared" si="10"/>
        <v>273.22194877404064</v>
      </c>
    </row>
    <row r="495" spans="1:13" ht="12.75">
      <c r="A495" s="363"/>
      <c r="B495" s="357"/>
      <c r="C495" s="364"/>
      <c r="D495" s="147">
        <v>1</v>
      </c>
      <c r="E495" s="147"/>
      <c r="F495" s="147">
        <v>1</v>
      </c>
      <c r="G495" s="147">
        <v>1</v>
      </c>
      <c r="H495" s="55"/>
      <c r="I495" s="55"/>
      <c r="J495" s="139">
        <v>1922</v>
      </c>
      <c r="K495" s="139" t="s">
        <v>139</v>
      </c>
      <c r="L495" s="158">
        <v>223.2</v>
      </c>
      <c r="M495" s="140">
        <f t="shared" si="10"/>
        <v>5081.9282471971555</v>
      </c>
    </row>
    <row r="496" spans="1:13" ht="12.75">
      <c r="A496" s="363"/>
      <c r="B496" s="357"/>
      <c r="C496" s="364"/>
      <c r="D496" s="147">
        <v>1</v>
      </c>
      <c r="E496" s="147"/>
      <c r="F496" s="147">
        <v>1</v>
      </c>
      <c r="G496" s="147">
        <v>1</v>
      </c>
      <c r="H496" s="55"/>
      <c r="I496" s="55"/>
      <c r="J496" s="139">
        <v>1932</v>
      </c>
      <c r="K496" s="139" t="s">
        <v>139</v>
      </c>
      <c r="L496" s="158">
        <v>8.2</v>
      </c>
      <c r="M496" s="140">
        <f t="shared" si="10"/>
        <v>186.7016649955944</v>
      </c>
    </row>
    <row r="497" spans="1:13" ht="12.75">
      <c r="A497" s="363"/>
      <c r="B497" s="357"/>
      <c r="C497" s="364"/>
      <c r="D497" s="147">
        <v>1</v>
      </c>
      <c r="E497" s="147"/>
      <c r="F497" s="147">
        <v>1</v>
      </c>
      <c r="G497" s="147">
        <v>1</v>
      </c>
      <c r="H497" s="55"/>
      <c r="I497" s="55"/>
      <c r="J497" s="139">
        <v>1936</v>
      </c>
      <c r="K497" s="139" t="s">
        <v>139</v>
      </c>
      <c r="L497" s="158">
        <v>116.4</v>
      </c>
      <c r="M497" s="140">
        <f t="shared" si="10"/>
        <v>2650.252903108194</v>
      </c>
    </row>
    <row r="498" spans="1:13" ht="12.75">
      <c r="A498" s="357"/>
      <c r="B498" s="357"/>
      <c r="C498" s="364"/>
      <c r="D498" s="147">
        <v>1</v>
      </c>
      <c r="E498" s="147">
        <v>1</v>
      </c>
      <c r="F498" s="147"/>
      <c r="G498" s="147">
        <v>1</v>
      </c>
      <c r="H498" s="55"/>
      <c r="I498" s="55"/>
      <c r="J498" s="139">
        <v>1957</v>
      </c>
      <c r="K498" s="139" t="s">
        <v>139</v>
      </c>
      <c r="L498" s="158">
        <v>7</v>
      </c>
      <c r="M498" s="140">
        <f t="shared" si="10"/>
        <v>159.37947011819037</v>
      </c>
    </row>
    <row r="499" spans="1:13" ht="12.75">
      <c r="A499" s="363"/>
      <c r="B499" s="357"/>
      <c r="C499" s="364"/>
      <c r="D499" s="147">
        <v>1</v>
      </c>
      <c r="E499" s="147"/>
      <c r="F499" s="147">
        <v>1</v>
      </c>
      <c r="G499" s="147">
        <v>1</v>
      </c>
      <c r="H499" s="55"/>
      <c r="I499" s="55"/>
      <c r="J499" s="139">
        <v>1927</v>
      </c>
      <c r="K499" s="139" t="s">
        <v>139</v>
      </c>
      <c r="L499" s="158">
        <v>54.45</v>
      </c>
      <c r="M499" s="140">
        <f t="shared" si="10"/>
        <v>1239.7445925622094</v>
      </c>
    </row>
    <row r="500" spans="1:13" ht="12.75">
      <c r="A500" s="363"/>
      <c r="B500" s="357"/>
      <c r="C500" s="364"/>
      <c r="D500" s="147">
        <v>1</v>
      </c>
      <c r="E500" s="147"/>
      <c r="F500" s="147">
        <v>1</v>
      </c>
      <c r="G500" s="147">
        <v>1</v>
      </c>
      <c r="H500" s="55"/>
      <c r="I500" s="55"/>
      <c r="J500" s="139">
        <v>1928</v>
      </c>
      <c r="K500" s="139" t="s">
        <v>139</v>
      </c>
      <c r="L500" s="158">
        <v>100.87</v>
      </c>
      <c r="M500" s="140">
        <f aca="true" t="shared" si="11" ref="M500:M505">74937.95/3291.3*L500</f>
        <v>2296.6581644031235</v>
      </c>
    </row>
    <row r="501" spans="1:13" ht="12.75">
      <c r="A501" s="363"/>
      <c r="B501" s="357"/>
      <c r="C501" s="364"/>
      <c r="D501" s="147">
        <v>1</v>
      </c>
      <c r="E501" s="147"/>
      <c r="F501" s="147">
        <v>1</v>
      </c>
      <c r="G501" s="147">
        <v>1</v>
      </c>
      <c r="H501" s="55"/>
      <c r="I501" s="55"/>
      <c r="J501" s="139">
        <v>1924</v>
      </c>
      <c r="K501" s="139" t="s">
        <v>139</v>
      </c>
      <c r="L501" s="158">
        <v>20.36</v>
      </c>
      <c r="M501" s="140">
        <f t="shared" si="11"/>
        <v>463.56657308662227</v>
      </c>
    </row>
    <row r="502" spans="1:13" ht="12.75">
      <c r="A502" s="363"/>
      <c r="B502" s="357"/>
      <c r="C502" s="364"/>
      <c r="D502" s="147">
        <v>1</v>
      </c>
      <c r="E502" s="147"/>
      <c r="F502" s="147">
        <v>1</v>
      </c>
      <c r="G502" s="147">
        <v>1</v>
      </c>
      <c r="H502" s="55"/>
      <c r="I502" s="55"/>
      <c r="J502" s="139">
        <v>1920</v>
      </c>
      <c r="K502" s="139" t="s">
        <v>139</v>
      </c>
      <c r="L502" s="158">
        <v>4.92</v>
      </c>
      <c r="M502" s="140">
        <f t="shared" si="11"/>
        <v>112.02099899735666</v>
      </c>
    </row>
    <row r="503" spans="1:13" ht="12.75">
      <c r="A503" s="363"/>
      <c r="B503" s="357"/>
      <c r="C503" s="364"/>
      <c r="D503" s="147">
        <v>1</v>
      </c>
      <c r="E503" s="147"/>
      <c r="F503" s="147">
        <v>1</v>
      </c>
      <c r="G503" s="147">
        <v>1</v>
      </c>
      <c r="H503" s="55"/>
      <c r="I503" s="55"/>
      <c r="J503" s="139">
        <v>1925</v>
      </c>
      <c r="K503" s="139" t="s">
        <v>139</v>
      </c>
      <c r="L503" s="158">
        <v>5.6</v>
      </c>
      <c r="M503" s="140">
        <f t="shared" si="11"/>
        <v>127.50357609455229</v>
      </c>
    </row>
    <row r="504" spans="1:13" ht="12.75">
      <c r="A504" s="363"/>
      <c r="B504" s="357"/>
      <c r="C504" s="364"/>
      <c r="D504" s="147">
        <v>1</v>
      </c>
      <c r="E504" s="147">
        <v>1</v>
      </c>
      <c r="F504" s="147"/>
      <c r="G504" s="147">
        <v>1</v>
      </c>
      <c r="H504" s="55"/>
      <c r="I504" s="55"/>
      <c r="J504" s="139">
        <v>1929</v>
      </c>
      <c r="K504" s="139" t="s">
        <v>139</v>
      </c>
      <c r="L504" s="158">
        <v>2.97</v>
      </c>
      <c r="M504" s="140">
        <f t="shared" si="11"/>
        <v>67.62243232157506</v>
      </c>
    </row>
    <row r="505" spans="1:13" ht="12.75">
      <c r="A505" s="357"/>
      <c r="B505" s="357"/>
      <c r="C505" s="364"/>
      <c r="D505" s="147">
        <v>1</v>
      </c>
      <c r="E505" s="147"/>
      <c r="F505" s="147">
        <v>1</v>
      </c>
      <c r="G505" s="147">
        <v>1</v>
      </c>
      <c r="H505" s="55"/>
      <c r="I505" s="55"/>
      <c r="J505" s="139">
        <v>1941</v>
      </c>
      <c r="K505" s="139" t="s">
        <v>139</v>
      </c>
      <c r="L505" s="158">
        <v>13.01</v>
      </c>
      <c r="M505" s="140">
        <f t="shared" si="11"/>
        <v>296.21812946252237</v>
      </c>
    </row>
    <row r="506" spans="1:15" s="87" customFormat="1" ht="15" customHeight="1">
      <c r="A506" s="374" t="s">
        <v>100</v>
      </c>
      <c r="B506" s="374"/>
      <c r="C506" s="84"/>
      <c r="D506" s="143">
        <f>SUM(D435:D505)</f>
        <v>71</v>
      </c>
      <c r="E506" s="143">
        <f>SUM(E435:E505)</f>
        <v>29</v>
      </c>
      <c r="F506" s="143">
        <f>SUM(F435:F505)</f>
        <v>42</v>
      </c>
      <c r="G506" s="143">
        <f>SUM(G435:G505)</f>
        <v>68</v>
      </c>
      <c r="H506" s="143">
        <f>SUM(H435:H505)</f>
        <v>3</v>
      </c>
      <c r="I506" s="143"/>
      <c r="J506" s="143"/>
      <c r="K506" s="143"/>
      <c r="L506" s="84">
        <f>SUM(L435:L505)</f>
        <v>3291.2799999999997</v>
      </c>
      <c r="M506" s="144">
        <f>4097.66+70840.29</f>
        <v>74937.95</v>
      </c>
      <c r="O506" s="87" t="s">
        <v>88</v>
      </c>
    </row>
    <row r="507" spans="1:32" s="86" customFormat="1" ht="15" customHeight="1">
      <c r="A507" s="309" t="s">
        <v>112</v>
      </c>
      <c r="B507" s="309"/>
      <c r="C507" s="71"/>
      <c r="D507" s="123">
        <f>D32+D195+D212+D265+D343+D306+D414+D432+D506</f>
        <v>476</v>
      </c>
      <c r="E507" s="123">
        <f>E32+E195+E212+E265+E343+E306+E414+E432+E506</f>
        <v>195</v>
      </c>
      <c r="F507" s="123">
        <f>F32+F195+F212+F265+F343+F306+F414+F432+F506</f>
        <v>281</v>
      </c>
      <c r="G507" s="123">
        <f>G32+G195+G212+G265+G343+G306+G414+G432+G506</f>
        <v>471</v>
      </c>
      <c r="H507" s="123">
        <f>H32+H195+H212+H265+H343+H306+H414+H432+H506</f>
        <v>5</v>
      </c>
      <c r="I507" s="123"/>
      <c r="J507" s="123"/>
      <c r="K507" s="123"/>
      <c r="L507" s="123">
        <f>L32+L195+L212+L265+L343+L306+L414+L432+L506</f>
        <v>30148.76</v>
      </c>
      <c r="M507" s="125">
        <f>M32+M195+M212+M265+M306+M343+M414+M432+M506</f>
        <v>631560.75</v>
      </c>
      <c r="O507" s="159"/>
      <c r="P507" s="159"/>
      <c r="Q507" s="159"/>
      <c r="R507" s="159"/>
      <c r="S507" s="159"/>
      <c r="T507" s="159"/>
      <c r="U507" s="159"/>
      <c r="V507" s="159"/>
      <c r="W507" s="159"/>
      <c r="X507" s="159"/>
      <c r="Y507" s="159"/>
      <c r="Z507" s="159"/>
      <c r="AA507" s="159"/>
      <c r="AB507" s="159"/>
      <c r="AC507" s="159"/>
      <c r="AD507" s="159"/>
      <c r="AE507" s="159"/>
      <c r="AF507" s="159"/>
    </row>
    <row r="509" spans="1:13" ht="18" customHeight="1">
      <c r="A509" s="44" t="s">
        <v>45</v>
      </c>
      <c r="D509" s="69"/>
      <c r="M509" s="159" t="s">
        <v>88</v>
      </c>
    </row>
    <row r="510" ht="12.75">
      <c r="A510" s="44" t="s">
        <v>174</v>
      </c>
    </row>
  </sheetData>
  <mergeCells count="22">
    <mergeCell ref="A3:B3"/>
    <mergeCell ref="A33:B33"/>
    <mergeCell ref="A196:B196"/>
    <mergeCell ref="A265:B265"/>
    <mergeCell ref="A213:B213"/>
    <mergeCell ref="A32:B32"/>
    <mergeCell ref="A212:B212"/>
    <mergeCell ref="A195:B195"/>
    <mergeCell ref="A343:B343"/>
    <mergeCell ref="A266:B266"/>
    <mergeCell ref="A307:B307"/>
    <mergeCell ref="A306:B306"/>
    <mergeCell ref="A1:K1"/>
    <mergeCell ref="L1:M1"/>
    <mergeCell ref="A507:B507"/>
    <mergeCell ref="A432:B432"/>
    <mergeCell ref="A433:B433"/>
    <mergeCell ref="A506:B506"/>
    <mergeCell ref="A344:B344"/>
    <mergeCell ref="A414:B414"/>
    <mergeCell ref="A415:B415"/>
    <mergeCell ref="A2:M2"/>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codeName="Foglio3">
    <tabColor indexed="27"/>
  </sheetPr>
  <dimension ref="A1:AA211"/>
  <sheetViews>
    <sheetView workbookViewId="0" topLeftCell="A188">
      <selection activeCell="A211" sqref="A211"/>
    </sheetView>
  </sheetViews>
  <sheetFormatPr defaultColWidth="9.140625" defaultRowHeight="12.75"/>
  <cols>
    <col min="1" max="1" width="20.57421875" style="44" customWidth="1"/>
    <col min="2" max="2" width="20.7109375" style="44" customWidth="1"/>
    <col min="3" max="3" width="20.7109375" style="80" customWidth="1"/>
    <col min="4" max="4" width="7.28125" style="44" customWidth="1"/>
    <col min="5" max="5" width="6.140625" style="44" customWidth="1"/>
    <col min="6" max="6" width="5.7109375" style="44" customWidth="1"/>
    <col min="7" max="8" width="9.7109375" style="44" customWidth="1"/>
    <col min="9" max="9" width="13.7109375" style="44" customWidth="1"/>
    <col min="10" max="10" width="10.140625" style="44" customWidth="1"/>
    <col min="11" max="11" width="15.00390625" style="44" customWidth="1"/>
    <col min="12" max="12" width="15.00390625" style="165" customWidth="1"/>
    <col min="13" max="13" width="20.28125" style="165" customWidth="1"/>
    <col min="14" max="14" width="12.00390625" style="44" bestFit="1" customWidth="1"/>
    <col min="15" max="16384" width="9.140625" style="44" customWidth="1"/>
  </cols>
  <sheetData>
    <row r="1" spans="1:13" ht="30" customHeight="1">
      <c r="A1" s="314" t="s">
        <v>154</v>
      </c>
      <c r="B1" s="315"/>
      <c r="C1" s="315"/>
      <c r="D1" s="315"/>
      <c r="E1" s="315"/>
      <c r="F1" s="315"/>
      <c r="G1" s="315"/>
      <c r="H1" s="315"/>
      <c r="I1" s="315"/>
      <c r="J1" s="315"/>
      <c r="K1" s="315"/>
      <c r="L1" s="315"/>
      <c r="M1" s="160">
        <v>40070231</v>
      </c>
    </row>
    <row r="2" spans="1:20" ht="59.25" customHeight="1">
      <c r="A2" s="377" t="s">
        <v>66</v>
      </c>
      <c r="B2" s="386"/>
      <c r="C2" s="386"/>
      <c r="D2" s="386"/>
      <c r="E2" s="386"/>
      <c r="F2" s="386"/>
      <c r="G2" s="386"/>
      <c r="H2" s="386"/>
      <c r="I2" s="386"/>
      <c r="J2" s="386"/>
      <c r="K2" s="386"/>
      <c r="L2" s="386"/>
      <c r="M2" s="386"/>
      <c r="N2" s="57"/>
      <c r="O2" s="57"/>
      <c r="P2" s="57"/>
      <c r="Q2" s="57"/>
      <c r="R2" s="57"/>
      <c r="S2" s="57"/>
      <c r="T2" s="57"/>
    </row>
    <row r="3" spans="1:14" s="87" customFormat="1" ht="15" customHeight="1">
      <c r="A3" s="381" t="s">
        <v>77</v>
      </c>
      <c r="B3" s="381"/>
      <c r="C3" s="48"/>
      <c r="D3" s="48"/>
      <c r="E3" s="48"/>
      <c r="F3" s="48"/>
      <c r="G3" s="48"/>
      <c r="H3" s="48"/>
      <c r="I3" s="48"/>
      <c r="J3" s="48"/>
      <c r="K3" s="48"/>
      <c r="L3" s="48"/>
      <c r="M3" s="48"/>
      <c r="N3" s="161"/>
    </row>
    <row r="4" spans="1:14" ht="30" customHeight="1">
      <c r="A4" s="52" t="s">
        <v>5</v>
      </c>
      <c r="B4" s="52" t="s">
        <v>1</v>
      </c>
      <c r="C4" s="52" t="s">
        <v>3</v>
      </c>
      <c r="D4" s="52" t="s">
        <v>120</v>
      </c>
      <c r="E4" s="52" t="s">
        <v>90</v>
      </c>
      <c r="F4" s="52" t="s">
        <v>91</v>
      </c>
      <c r="G4" s="52" t="s">
        <v>140</v>
      </c>
      <c r="H4" s="52" t="s">
        <v>127</v>
      </c>
      <c r="I4" s="52" t="s">
        <v>159</v>
      </c>
      <c r="J4" s="52" t="s">
        <v>119</v>
      </c>
      <c r="K4" s="52" t="s">
        <v>141</v>
      </c>
      <c r="L4" s="52" t="s">
        <v>124</v>
      </c>
      <c r="M4" s="52" t="s">
        <v>185</v>
      </c>
      <c r="N4" s="62"/>
    </row>
    <row r="5" spans="1:13" ht="15" customHeight="1">
      <c r="A5" s="357"/>
      <c r="B5" s="358"/>
      <c r="C5" s="359"/>
      <c r="D5" s="147">
        <v>1</v>
      </c>
      <c r="E5" s="147">
        <v>1</v>
      </c>
      <c r="F5" s="147"/>
      <c r="G5" s="147">
        <v>1</v>
      </c>
      <c r="H5" s="55"/>
      <c r="I5" s="55"/>
      <c r="J5" s="137">
        <v>1920</v>
      </c>
      <c r="K5" s="137">
        <v>210</v>
      </c>
      <c r="L5" s="140">
        <f>M29/K29*K5</f>
        <v>1436.8411886662059</v>
      </c>
      <c r="M5" s="140"/>
    </row>
    <row r="6" spans="1:13" ht="15" customHeight="1">
      <c r="A6" s="357"/>
      <c r="B6" s="358"/>
      <c r="C6" s="359"/>
      <c r="D6" s="147">
        <v>1</v>
      </c>
      <c r="E6" s="147">
        <v>1</v>
      </c>
      <c r="F6" s="147"/>
      <c r="G6" s="147">
        <v>1</v>
      </c>
      <c r="H6" s="55"/>
      <c r="I6" s="55"/>
      <c r="J6" s="137">
        <v>1948</v>
      </c>
      <c r="K6" s="137">
        <v>280</v>
      </c>
      <c r="L6" s="140">
        <f>29701.56/4341*K6</f>
        <v>1915.7882515549413</v>
      </c>
      <c r="M6" s="140"/>
    </row>
    <row r="7" spans="1:13" ht="15" customHeight="1">
      <c r="A7" s="357"/>
      <c r="B7" s="358"/>
      <c r="C7" s="359"/>
      <c r="D7" s="147">
        <v>1</v>
      </c>
      <c r="E7" s="147"/>
      <c r="F7" s="147">
        <v>1</v>
      </c>
      <c r="G7" s="147">
        <v>1</v>
      </c>
      <c r="H7" s="55"/>
      <c r="I7" s="55"/>
      <c r="J7" s="137">
        <v>1926</v>
      </c>
      <c r="K7" s="137">
        <v>210</v>
      </c>
      <c r="L7" s="140">
        <f>29701.56/4341*K7</f>
        <v>1436.8411886662059</v>
      </c>
      <c r="M7" s="140"/>
    </row>
    <row r="8" spans="1:13" ht="15" customHeight="1">
      <c r="A8" s="357"/>
      <c r="B8" s="358"/>
      <c r="C8" s="359"/>
      <c r="D8" s="147">
        <v>1</v>
      </c>
      <c r="E8" s="147"/>
      <c r="F8" s="147">
        <v>1</v>
      </c>
      <c r="G8" s="147">
        <v>1</v>
      </c>
      <c r="H8" s="55"/>
      <c r="I8" s="55"/>
      <c r="J8" s="139">
        <v>1945</v>
      </c>
      <c r="K8" s="137">
        <v>43</v>
      </c>
      <c r="L8" s="140">
        <f aca="true" t="shared" si="0" ref="L8:L28">29701.56/4341*K8</f>
        <v>294.21033863165167</v>
      </c>
      <c r="M8" s="140"/>
    </row>
    <row r="9" spans="1:13" ht="15" customHeight="1">
      <c r="A9" s="357"/>
      <c r="B9" s="358"/>
      <c r="C9" s="359"/>
      <c r="D9" s="147">
        <v>1</v>
      </c>
      <c r="E9" s="147">
        <v>1</v>
      </c>
      <c r="F9" s="147"/>
      <c r="G9" s="147">
        <v>1</v>
      </c>
      <c r="H9" s="55"/>
      <c r="I9" s="55"/>
      <c r="J9" s="137">
        <v>1951</v>
      </c>
      <c r="K9" s="137">
        <v>207</v>
      </c>
      <c r="L9" s="140">
        <f t="shared" si="0"/>
        <v>1416.3148859709745</v>
      </c>
      <c r="M9" s="140"/>
    </row>
    <row r="10" spans="1:13" ht="15" customHeight="1">
      <c r="A10" s="357"/>
      <c r="B10" s="358"/>
      <c r="C10" s="359"/>
      <c r="D10" s="147">
        <v>1</v>
      </c>
      <c r="E10" s="147"/>
      <c r="F10" s="147">
        <v>1</v>
      </c>
      <c r="G10" s="147">
        <v>1</v>
      </c>
      <c r="H10" s="55"/>
      <c r="I10" s="55"/>
      <c r="J10" s="137">
        <v>1921</v>
      </c>
      <c r="K10" s="137">
        <v>22</v>
      </c>
      <c r="L10" s="140">
        <f t="shared" si="0"/>
        <v>150.5262197650311</v>
      </c>
      <c r="M10" s="140"/>
    </row>
    <row r="11" spans="1:13" ht="15" customHeight="1">
      <c r="A11" s="357"/>
      <c r="B11" s="358"/>
      <c r="C11" s="359"/>
      <c r="D11" s="147">
        <v>1</v>
      </c>
      <c r="E11" s="147">
        <v>1</v>
      </c>
      <c r="F11" s="147"/>
      <c r="G11" s="147">
        <v>1</v>
      </c>
      <c r="H11" s="55"/>
      <c r="I11" s="55"/>
      <c r="J11" s="137">
        <v>1930</v>
      </c>
      <c r="K11" s="137">
        <v>210</v>
      </c>
      <c r="L11" s="140">
        <f t="shared" si="0"/>
        <v>1436.8411886662059</v>
      </c>
      <c r="M11" s="140"/>
    </row>
    <row r="12" spans="1:13" ht="15" customHeight="1">
      <c r="A12" s="357"/>
      <c r="B12" s="358"/>
      <c r="C12" s="359"/>
      <c r="D12" s="147">
        <v>1</v>
      </c>
      <c r="E12" s="147">
        <v>1</v>
      </c>
      <c r="F12" s="147"/>
      <c r="G12" s="147">
        <v>1</v>
      </c>
      <c r="H12" s="55"/>
      <c r="I12" s="55"/>
      <c r="J12" s="137">
        <v>1935</v>
      </c>
      <c r="K12" s="137">
        <v>61</v>
      </c>
      <c r="L12" s="140">
        <f t="shared" si="0"/>
        <v>417.3681548030408</v>
      </c>
      <c r="M12" s="140"/>
    </row>
    <row r="13" spans="1:13" ht="15" customHeight="1">
      <c r="A13" s="357"/>
      <c r="B13" s="358"/>
      <c r="C13" s="359"/>
      <c r="D13" s="147">
        <v>1</v>
      </c>
      <c r="E13" s="147">
        <v>1</v>
      </c>
      <c r="F13" s="147"/>
      <c r="G13" s="147">
        <v>1</v>
      </c>
      <c r="H13" s="55"/>
      <c r="I13" s="55"/>
      <c r="J13" s="137">
        <v>1951</v>
      </c>
      <c r="K13" s="137">
        <v>210</v>
      </c>
      <c r="L13" s="140">
        <f t="shared" si="0"/>
        <v>1436.8411886662059</v>
      </c>
      <c r="M13" s="140"/>
    </row>
    <row r="14" spans="1:13" ht="15" customHeight="1">
      <c r="A14" s="357"/>
      <c r="B14" s="358"/>
      <c r="C14" s="359"/>
      <c r="D14" s="147">
        <v>1</v>
      </c>
      <c r="E14" s="147">
        <v>1</v>
      </c>
      <c r="F14" s="147"/>
      <c r="G14" s="147">
        <v>1</v>
      </c>
      <c r="H14" s="55"/>
      <c r="I14" s="55"/>
      <c r="J14" s="137">
        <v>1938</v>
      </c>
      <c r="K14" s="137">
        <v>210</v>
      </c>
      <c r="L14" s="140">
        <f t="shared" si="0"/>
        <v>1436.8411886662059</v>
      </c>
      <c r="M14" s="140"/>
    </row>
    <row r="15" spans="1:13" ht="15" customHeight="1">
      <c r="A15" s="357"/>
      <c r="B15" s="358"/>
      <c r="C15" s="359"/>
      <c r="D15" s="147">
        <v>1</v>
      </c>
      <c r="E15" s="147">
        <v>1</v>
      </c>
      <c r="F15" s="147"/>
      <c r="G15" s="147">
        <v>1</v>
      </c>
      <c r="H15" s="55"/>
      <c r="I15" s="55"/>
      <c r="J15" s="137">
        <v>1924</v>
      </c>
      <c r="K15" s="137">
        <v>630</v>
      </c>
      <c r="L15" s="140">
        <f t="shared" si="0"/>
        <v>4310.523565998617</v>
      </c>
      <c r="M15" s="140"/>
    </row>
    <row r="16" spans="1:13" ht="15" customHeight="1">
      <c r="A16" s="357"/>
      <c r="B16" s="358"/>
      <c r="C16" s="359"/>
      <c r="D16" s="147">
        <v>1</v>
      </c>
      <c r="E16" s="147"/>
      <c r="F16" s="147">
        <v>1</v>
      </c>
      <c r="G16" s="147">
        <v>1</v>
      </c>
      <c r="H16" s="55"/>
      <c r="I16" s="55"/>
      <c r="J16" s="139">
        <v>1929</v>
      </c>
      <c r="K16" s="137">
        <v>41</v>
      </c>
      <c r="L16" s="140">
        <f t="shared" si="0"/>
        <v>280.5261368348307</v>
      </c>
      <c r="M16" s="140"/>
    </row>
    <row r="17" spans="1:13" ht="15" customHeight="1">
      <c r="A17" s="357"/>
      <c r="B17" s="358"/>
      <c r="C17" s="359"/>
      <c r="D17" s="147">
        <v>1</v>
      </c>
      <c r="E17" s="147"/>
      <c r="F17" s="147">
        <v>1</v>
      </c>
      <c r="G17" s="147">
        <v>1</v>
      </c>
      <c r="H17" s="55"/>
      <c r="I17" s="55"/>
      <c r="J17" s="137">
        <v>1942</v>
      </c>
      <c r="K17" s="137">
        <v>153</v>
      </c>
      <c r="L17" s="140">
        <f t="shared" si="0"/>
        <v>1046.8414374568072</v>
      </c>
      <c r="M17" s="140"/>
    </row>
    <row r="18" spans="1:13" ht="15" customHeight="1">
      <c r="A18" s="357"/>
      <c r="B18" s="358"/>
      <c r="C18" s="359"/>
      <c r="D18" s="147">
        <v>1</v>
      </c>
      <c r="E18" s="147">
        <v>1</v>
      </c>
      <c r="F18" s="147"/>
      <c r="G18" s="147">
        <v>1</v>
      </c>
      <c r="H18" s="55"/>
      <c r="I18" s="55"/>
      <c r="J18" s="137">
        <v>1955</v>
      </c>
      <c r="K18" s="137">
        <v>208</v>
      </c>
      <c r="L18" s="140">
        <f t="shared" si="0"/>
        <v>1423.156986869385</v>
      </c>
      <c r="M18" s="140"/>
    </row>
    <row r="19" spans="1:13" ht="15" customHeight="1">
      <c r="A19" s="357"/>
      <c r="B19" s="358"/>
      <c r="C19" s="359"/>
      <c r="D19" s="147">
        <v>1</v>
      </c>
      <c r="E19" s="147">
        <v>1</v>
      </c>
      <c r="F19" s="147"/>
      <c r="G19" s="147">
        <v>1</v>
      </c>
      <c r="H19" s="55"/>
      <c r="I19" s="55"/>
      <c r="J19" s="137">
        <v>1948</v>
      </c>
      <c r="K19" s="137">
        <v>207</v>
      </c>
      <c r="L19" s="140">
        <f t="shared" si="0"/>
        <v>1416.3148859709745</v>
      </c>
      <c r="M19" s="140"/>
    </row>
    <row r="20" spans="1:13" ht="15" customHeight="1">
      <c r="A20" s="357"/>
      <c r="B20" s="358"/>
      <c r="C20" s="359"/>
      <c r="D20" s="147">
        <v>1</v>
      </c>
      <c r="E20" s="147">
        <v>1</v>
      </c>
      <c r="F20" s="147"/>
      <c r="G20" s="147">
        <v>1</v>
      </c>
      <c r="H20" s="55"/>
      <c r="I20" s="55"/>
      <c r="J20" s="139">
        <v>1967</v>
      </c>
      <c r="K20" s="137">
        <v>35</v>
      </c>
      <c r="L20" s="140">
        <f t="shared" si="0"/>
        <v>239.47353144436767</v>
      </c>
      <c r="M20" s="140"/>
    </row>
    <row r="21" spans="1:13" ht="15" customHeight="1">
      <c r="A21" s="357"/>
      <c r="B21" s="358"/>
      <c r="C21" s="359"/>
      <c r="D21" s="147">
        <v>1</v>
      </c>
      <c r="E21" s="147">
        <v>1</v>
      </c>
      <c r="F21" s="147"/>
      <c r="G21" s="147">
        <v>1</v>
      </c>
      <c r="H21" s="55"/>
      <c r="I21" s="55"/>
      <c r="J21" s="137">
        <v>1924</v>
      </c>
      <c r="K21" s="137">
        <v>210</v>
      </c>
      <c r="L21" s="140">
        <f t="shared" si="0"/>
        <v>1436.8411886662059</v>
      </c>
      <c r="M21" s="140"/>
    </row>
    <row r="22" spans="1:13" ht="15" customHeight="1">
      <c r="A22" s="357"/>
      <c r="B22" s="358"/>
      <c r="C22" s="359"/>
      <c r="D22" s="147">
        <v>1</v>
      </c>
      <c r="E22" s="147"/>
      <c r="F22" s="147">
        <v>1</v>
      </c>
      <c r="G22" s="147">
        <v>1</v>
      </c>
      <c r="H22" s="55"/>
      <c r="I22" s="55"/>
      <c r="J22" s="137">
        <v>1942</v>
      </c>
      <c r="K22" s="137">
        <v>181</v>
      </c>
      <c r="L22" s="140">
        <f t="shared" si="0"/>
        <v>1238.4202626123013</v>
      </c>
      <c r="M22" s="140"/>
    </row>
    <row r="23" spans="1:13" ht="15" customHeight="1">
      <c r="A23" s="357"/>
      <c r="B23" s="358"/>
      <c r="C23" s="359"/>
      <c r="D23" s="147">
        <v>1</v>
      </c>
      <c r="E23" s="147"/>
      <c r="F23" s="147">
        <v>1</v>
      </c>
      <c r="G23" s="147">
        <v>1</v>
      </c>
      <c r="H23" s="55"/>
      <c r="I23" s="55"/>
      <c r="J23" s="137">
        <v>1924</v>
      </c>
      <c r="K23" s="137">
        <v>149</v>
      </c>
      <c r="L23" s="140">
        <f t="shared" si="0"/>
        <v>1019.4730338631651</v>
      </c>
      <c r="M23" s="140"/>
    </row>
    <row r="24" spans="1:13" ht="15" customHeight="1">
      <c r="A24" s="357"/>
      <c r="B24" s="358"/>
      <c r="C24" s="359"/>
      <c r="D24" s="147">
        <v>1</v>
      </c>
      <c r="E24" s="147">
        <v>1</v>
      </c>
      <c r="F24" s="147"/>
      <c r="G24" s="147">
        <v>1</v>
      </c>
      <c r="H24" s="55"/>
      <c r="I24" s="55"/>
      <c r="J24" s="137">
        <v>1938</v>
      </c>
      <c r="K24" s="137">
        <v>188</v>
      </c>
      <c r="L24" s="140">
        <f t="shared" si="0"/>
        <v>1286.3149689011748</v>
      </c>
      <c r="M24" s="140"/>
    </row>
    <row r="25" spans="1:13" ht="15" customHeight="1">
      <c r="A25" s="357"/>
      <c r="B25" s="358"/>
      <c r="C25" s="359"/>
      <c r="D25" s="147">
        <v>1</v>
      </c>
      <c r="E25" s="147">
        <v>1</v>
      </c>
      <c r="F25" s="147"/>
      <c r="G25" s="147">
        <v>1</v>
      </c>
      <c r="H25" s="55"/>
      <c r="I25" s="55"/>
      <c r="J25" s="137">
        <v>1948</v>
      </c>
      <c r="K25" s="137">
        <v>358</v>
      </c>
      <c r="L25" s="140">
        <f t="shared" si="0"/>
        <v>2449.472121630961</v>
      </c>
      <c r="M25" s="140"/>
    </row>
    <row r="26" spans="1:13" ht="15" customHeight="1">
      <c r="A26" s="357"/>
      <c r="B26" s="358"/>
      <c r="C26" s="359"/>
      <c r="D26" s="147">
        <v>1</v>
      </c>
      <c r="E26" s="147">
        <v>1</v>
      </c>
      <c r="F26" s="147"/>
      <c r="G26" s="147">
        <v>1</v>
      </c>
      <c r="H26" s="55"/>
      <c r="I26" s="55"/>
      <c r="J26" s="137">
        <v>1919</v>
      </c>
      <c r="K26" s="137">
        <v>45</v>
      </c>
      <c r="L26" s="140">
        <f t="shared" si="0"/>
        <v>307.8945404284727</v>
      </c>
      <c r="M26" s="140"/>
    </row>
    <row r="27" spans="1:13" ht="15" customHeight="1">
      <c r="A27" s="357"/>
      <c r="B27" s="358"/>
      <c r="C27" s="359"/>
      <c r="D27" s="147">
        <v>1</v>
      </c>
      <c r="E27" s="147">
        <v>1</v>
      </c>
      <c r="F27" s="147"/>
      <c r="G27" s="147">
        <v>1</v>
      </c>
      <c r="H27" s="55"/>
      <c r="I27" s="55"/>
      <c r="J27" s="137">
        <v>1926</v>
      </c>
      <c r="K27" s="137">
        <v>191</v>
      </c>
      <c r="L27" s="140">
        <f t="shared" si="0"/>
        <v>1306.8412715964064</v>
      </c>
      <c r="M27" s="140"/>
    </row>
    <row r="28" spans="1:13" ht="15" customHeight="1">
      <c r="A28" s="357"/>
      <c r="B28" s="358"/>
      <c r="C28" s="359"/>
      <c r="D28" s="147">
        <v>1</v>
      </c>
      <c r="E28" s="147"/>
      <c r="F28" s="147">
        <v>1</v>
      </c>
      <c r="G28" s="147">
        <v>1</v>
      </c>
      <c r="H28" s="55"/>
      <c r="I28" s="55"/>
      <c r="J28" s="137">
        <v>1926</v>
      </c>
      <c r="K28" s="137">
        <v>82</v>
      </c>
      <c r="L28" s="140">
        <f t="shared" si="0"/>
        <v>561.0522736696614</v>
      </c>
      <c r="M28" s="140"/>
    </row>
    <row r="29" spans="1:13" s="87" customFormat="1" ht="15" customHeight="1">
      <c r="A29" s="374" t="s">
        <v>93</v>
      </c>
      <c r="B29" s="374"/>
      <c r="C29" s="84"/>
      <c r="D29" s="103">
        <f>SUM(D5:D28)</f>
        <v>24</v>
      </c>
      <c r="E29" s="103">
        <f>SUM(E5:E28)</f>
        <v>16</v>
      </c>
      <c r="F29" s="103">
        <f>SUM(F5:F28)</f>
        <v>8</v>
      </c>
      <c r="G29" s="103">
        <f>SUM(G5:G28)</f>
        <v>24</v>
      </c>
      <c r="H29" s="143">
        <v>0</v>
      </c>
      <c r="I29" s="143"/>
      <c r="J29" s="143"/>
      <c r="K29" s="103">
        <f>SUM(K5:K28)</f>
        <v>4341</v>
      </c>
      <c r="L29" s="84"/>
      <c r="M29" s="162">
        <v>29701.56</v>
      </c>
    </row>
    <row r="30" spans="1:16" s="87" customFormat="1" ht="15" customHeight="1">
      <c r="A30" s="381" t="s">
        <v>78</v>
      </c>
      <c r="B30" s="381"/>
      <c r="C30" s="48"/>
      <c r="D30" s="48"/>
      <c r="E30" s="48"/>
      <c r="F30" s="48"/>
      <c r="G30" s="48"/>
      <c r="H30" s="48"/>
      <c r="I30" s="48"/>
      <c r="J30" s="48"/>
      <c r="K30" s="48"/>
      <c r="L30" s="48"/>
      <c r="M30" s="48"/>
      <c r="N30" s="131"/>
      <c r="O30" s="132"/>
      <c r="P30" s="133"/>
    </row>
    <row r="31" spans="1:14" ht="38.25" customHeight="1">
      <c r="A31" s="52" t="s">
        <v>5</v>
      </c>
      <c r="B31" s="52" t="s">
        <v>1</v>
      </c>
      <c r="C31" s="52" t="s">
        <v>3</v>
      </c>
      <c r="D31" s="52" t="s">
        <v>120</v>
      </c>
      <c r="E31" s="52" t="s">
        <v>90</v>
      </c>
      <c r="F31" s="52" t="s">
        <v>91</v>
      </c>
      <c r="G31" s="52" t="s">
        <v>140</v>
      </c>
      <c r="H31" s="52" t="s">
        <v>127</v>
      </c>
      <c r="I31" s="52" t="s">
        <v>159</v>
      </c>
      <c r="J31" s="52" t="s">
        <v>119</v>
      </c>
      <c r="K31" s="52" t="s">
        <v>141</v>
      </c>
      <c r="L31" s="52" t="s">
        <v>124</v>
      </c>
      <c r="M31" s="52" t="s">
        <v>185</v>
      </c>
      <c r="N31" s="62"/>
    </row>
    <row r="32" spans="1:13" ht="15" customHeight="1">
      <c r="A32" s="357"/>
      <c r="B32" s="357"/>
      <c r="C32" s="359"/>
      <c r="D32" s="138">
        <v>1</v>
      </c>
      <c r="E32" s="146">
        <v>1</v>
      </c>
      <c r="F32" s="146"/>
      <c r="G32" s="146">
        <v>1</v>
      </c>
      <c r="H32" s="146"/>
      <c r="I32" s="146"/>
      <c r="J32" s="137">
        <v>1925</v>
      </c>
      <c r="K32" s="137">
        <v>36</v>
      </c>
      <c r="L32" s="140">
        <f>35141.83/7314*K32</f>
        <v>172.9704511894996</v>
      </c>
      <c r="M32" s="55"/>
    </row>
    <row r="33" spans="1:13" ht="15" customHeight="1">
      <c r="A33" s="357"/>
      <c r="B33" s="357"/>
      <c r="C33" s="359"/>
      <c r="D33" s="138">
        <v>1</v>
      </c>
      <c r="E33" s="147">
        <v>1</v>
      </c>
      <c r="F33" s="147"/>
      <c r="G33" s="146">
        <v>1</v>
      </c>
      <c r="H33" s="55"/>
      <c r="I33" s="55"/>
      <c r="J33" s="137">
        <v>1964</v>
      </c>
      <c r="K33" s="137">
        <f>178+129</f>
        <v>307</v>
      </c>
      <c r="L33" s="140">
        <f aca="true" t="shared" si="1" ref="L33:L82">35141.83/7314*K33</f>
        <v>1475.0535698660105</v>
      </c>
      <c r="M33" s="140"/>
    </row>
    <row r="34" spans="1:13" ht="15" customHeight="1">
      <c r="A34" s="357"/>
      <c r="B34" s="357"/>
      <c r="C34" s="359"/>
      <c r="D34" s="138">
        <v>1</v>
      </c>
      <c r="E34" s="147"/>
      <c r="F34" s="147">
        <v>1</v>
      </c>
      <c r="G34" s="146">
        <v>1</v>
      </c>
      <c r="H34" s="55"/>
      <c r="I34" s="55"/>
      <c r="J34" s="137">
        <v>1940</v>
      </c>
      <c r="K34" s="137">
        <f>197+148</f>
        <v>345</v>
      </c>
      <c r="L34" s="140">
        <f t="shared" si="1"/>
        <v>1657.6334905660378</v>
      </c>
      <c r="M34" s="140"/>
    </row>
    <row r="35" spans="1:13" ht="15" customHeight="1">
      <c r="A35" s="357"/>
      <c r="B35" s="357"/>
      <c r="C35" s="359"/>
      <c r="D35" s="138">
        <v>1</v>
      </c>
      <c r="E35" s="147"/>
      <c r="F35" s="147">
        <v>1</v>
      </c>
      <c r="G35" s="146">
        <v>1</v>
      </c>
      <c r="H35" s="55"/>
      <c r="I35" s="55"/>
      <c r="J35" s="137">
        <v>1924</v>
      </c>
      <c r="K35" s="137">
        <v>23</v>
      </c>
      <c r="L35" s="140">
        <f t="shared" si="1"/>
        <v>110.50889937106919</v>
      </c>
      <c r="M35" s="140"/>
    </row>
    <row r="36" spans="1:13" ht="15" customHeight="1">
      <c r="A36" s="357"/>
      <c r="B36" s="357"/>
      <c r="C36" s="359"/>
      <c r="D36" s="138">
        <v>1</v>
      </c>
      <c r="E36" s="147">
        <v>1</v>
      </c>
      <c r="F36" s="147"/>
      <c r="G36" s="146">
        <v>1</v>
      </c>
      <c r="H36" s="55"/>
      <c r="I36" s="55"/>
      <c r="J36" s="137">
        <v>1939</v>
      </c>
      <c r="K36" s="137">
        <v>1</v>
      </c>
      <c r="L36" s="140">
        <f t="shared" si="1"/>
        <v>4.804734755263878</v>
      </c>
      <c r="M36" s="140"/>
    </row>
    <row r="37" spans="1:13" ht="15" customHeight="1">
      <c r="A37" s="357"/>
      <c r="B37" s="357"/>
      <c r="C37" s="359"/>
      <c r="D37" s="138">
        <v>1</v>
      </c>
      <c r="E37" s="147">
        <v>1</v>
      </c>
      <c r="F37" s="147"/>
      <c r="G37" s="146">
        <v>1</v>
      </c>
      <c r="H37" s="55"/>
      <c r="I37" s="55"/>
      <c r="J37" s="137">
        <v>1934</v>
      </c>
      <c r="K37" s="137">
        <f>158+116</f>
        <v>274</v>
      </c>
      <c r="L37" s="140">
        <f t="shared" si="1"/>
        <v>1316.4973229423026</v>
      </c>
      <c r="M37" s="140"/>
    </row>
    <row r="38" spans="1:13" ht="15" customHeight="1">
      <c r="A38" s="357"/>
      <c r="B38" s="357"/>
      <c r="C38" s="359"/>
      <c r="D38" s="138">
        <v>1</v>
      </c>
      <c r="E38" s="147">
        <v>1</v>
      </c>
      <c r="F38" s="147"/>
      <c r="G38" s="146">
        <v>1</v>
      </c>
      <c r="H38" s="55"/>
      <c r="I38" s="55"/>
      <c r="J38" s="137">
        <v>1938</v>
      </c>
      <c r="K38" s="137">
        <f>152+126</f>
        <v>278</v>
      </c>
      <c r="L38" s="140">
        <f t="shared" si="1"/>
        <v>1335.716261963358</v>
      </c>
      <c r="M38" s="140"/>
    </row>
    <row r="39" spans="1:13" ht="15" customHeight="1">
      <c r="A39" s="357"/>
      <c r="B39" s="357"/>
      <c r="C39" s="359"/>
      <c r="D39" s="138">
        <v>1</v>
      </c>
      <c r="E39" s="147"/>
      <c r="F39" s="147">
        <v>1</v>
      </c>
      <c r="G39" s="146">
        <v>1</v>
      </c>
      <c r="H39" s="55"/>
      <c r="I39" s="55"/>
      <c r="J39" s="137">
        <v>1933</v>
      </c>
      <c r="K39" s="137">
        <v>77</v>
      </c>
      <c r="L39" s="140">
        <f t="shared" si="1"/>
        <v>369.9645761553186</v>
      </c>
      <c r="M39" s="140"/>
    </row>
    <row r="40" spans="1:13" ht="15" customHeight="1">
      <c r="A40" s="357"/>
      <c r="B40" s="357"/>
      <c r="C40" s="359"/>
      <c r="D40" s="138">
        <v>1</v>
      </c>
      <c r="E40" s="147"/>
      <c r="F40" s="147">
        <v>1</v>
      </c>
      <c r="G40" s="146">
        <v>1</v>
      </c>
      <c r="H40" s="55"/>
      <c r="I40" s="55"/>
      <c r="J40" s="137">
        <v>1978</v>
      </c>
      <c r="K40" s="137">
        <f>91+62</f>
        <v>153</v>
      </c>
      <c r="L40" s="140">
        <f t="shared" si="1"/>
        <v>735.1244175553733</v>
      </c>
      <c r="M40" s="140"/>
    </row>
    <row r="41" spans="1:13" ht="15" customHeight="1">
      <c r="A41" s="357"/>
      <c r="B41" s="357"/>
      <c r="C41" s="359"/>
      <c r="D41" s="138">
        <v>1</v>
      </c>
      <c r="E41" s="147"/>
      <c r="F41" s="147">
        <v>1</v>
      </c>
      <c r="G41" s="146">
        <v>1</v>
      </c>
      <c r="H41" s="55"/>
      <c r="I41" s="55"/>
      <c r="J41" s="137">
        <v>1940</v>
      </c>
      <c r="K41" s="137">
        <v>48</v>
      </c>
      <c r="L41" s="140">
        <f t="shared" si="1"/>
        <v>230.62726825266614</v>
      </c>
      <c r="M41" s="140"/>
    </row>
    <row r="42" spans="1:13" ht="15" customHeight="1">
      <c r="A42" s="357"/>
      <c r="B42" s="357"/>
      <c r="C42" s="359"/>
      <c r="D42" s="138">
        <v>1</v>
      </c>
      <c r="E42" s="147"/>
      <c r="F42" s="147">
        <v>1</v>
      </c>
      <c r="G42" s="146">
        <v>1</v>
      </c>
      <c r="H42" s="55"/>
      <c r="I42" s="55"/>
      <c r="J42" s="137">
        <v>1925</v>
      </c>
      <c r="K42" s="137">
        <v>132</v>
      </c>
      <c r="L42" s="140">
        <f t="shared" si="1"/>
        <v>634.2249876948318</v>
      </c>
      <c r="M42" s="140"/>
    </row>
    <row r="43" spans="1:13" ht="15" customHeight="1">
      <c r="A43" s="357"/>
      <c r="B43" s="357"/>
      <c r="C43" s="359"/>
      <c r="D43" s="138">
        <v>1</v>
      </c>
      <c r="E43" s="147"/>
      <c r="F43" s="147">
        <v>1</v>
      </c>
      <c r="G43" s="146">
        <v>1</v>
      </c>
      <c r="H43" s="55"/>
      <c r="I43" s="55"/>
      <c r="J43" s="137">
        <v>1934</v>
      </c>
      <c r="K43" s="137">
        <f>178+30</f>
        <v>208</v>
      </c>
      <c r="L43" s="140">
        <f t="shared" si="1"/>
        <v>999.3848290948866</v>
      </c>
      <c r="M43" s="140"/>
    </row>
    <row r="44" spans="1:13" ht="15" customHeight="1">
      <c r="A44" s="357"/>
      <c r="B44" s="357"/>
      <c r="C44" s="359"/>
      <c r="D44" s="138">
        <v>1</v>
      </c>
      <c r="E44" s="147"/>
      <c r="F44" s="147">
        <v>1</v>
      </c>
      <c r="G44" s="146">
        <v>1</v>
      </c>
      <c r="H44" s="55"/>
      <c r="I44" s="55"/>
      <c r="J44" s="137">
        <v>1920</v>
      </c>
      <c r="K44" s="137">
        <f>105+129</f>
        <v>234</v>
      </c>
      <c r="L44" s="140">
        <f t="shared" si="1"/>
        <v>1124.3079327317475</v>
      </c>
      <c r="M44" s="140"/>
    </row>
    <row r="45" spans="1:13" ht="15" customHeight="1">
      <c r="A45" s="357"/>
      <c r="B45" s="357"/>
      <c r="C45" s="359"/>
      <c r="D45" s="138">
        <v>1</v>
      </c>
      <c r="E45" s="147"/>
      <c r="F45" s="147">
        <v>1</v>
      </c>
      <c r="G45" s="146">
        <v>1</v>
      </c>
      <c r="H45" s="55"/>
      <c r="I45" s="55"/>
      <c r="J45" s="137">
        <v>1930</v>
      </c>
      <c r="K45" s="137">
        <v>25</v>
      </c>
      <c r="L45" s="140">
        <f t="shared" si="1"/>
        <v>120.11836888159695</v>
      </c>
      <c r="M45" s="55"/>
    </row>
    <row r="46" spans="1:13" ht="15" customHeight="1">
      <c r="A46" s="357"/>
      <c r="B46" s="357"/>
      <c r="C46" s="359"/>
      <c r="D46" s="138">
        <v>1</v>
      </c>
      <c r="E46" s="147"/>
      <c r="F46" s="147">
        <v>1</v>
      </c>
      <c r="G46" s="146">
        <v>1</v>
      </c>
      <c r="H46" s="55"/>
      <c r="I46" s="55"/>
      <c r="J46" s="137">
        <v>1924</v>
      </c>
      <c r="K46" s="137">
        <f>183+50</f>
        <v>233</v>
      </c>
      <c r="L46" s="140">
        <f t="shared" si="1"/>
        <v>1119.5031979764835</v>
      </c>
      <c r="M46" s="55"/>
    </row>
    <row r="47" spans="1:13" ht="15" customHeight="1">
      <c r="A47" s="357"/>
      <c r="B47" s="357"/>
      <c r="C47" s="359"/>
      <c r="D47" s="138">
        <v>1</v>
      </c>
      <c r="E47" s="147"/>
      <c r="F47" s="147">
        <v>1</v>
      </c>
      <c r="G47" s="146">
        <v>1</v>
      </c>
      <c r="H47" s="55"/>
      <c r="I47" s="55"/>
      <c r="J47" s="137">
        <v>1958</v>
      </c>
      <c r="K47" s="137">
        <v>80</v>
      </c>
      <c r="L47" s="140">
        <f t="shared" si="1"/>
        <v>384.37878042111026</v>
      </c>
      <c r="M47" s="140"/>
    </row>
    <row r="48" spans="1:13" ht="15" customHeight="1">
      <c r="A48" s="357"/>
      <c r="B48" s="357"/>
      <c r="C48" s="359"/>
      <c r="D48" s="138">
        <v>1</v>
      </c>
      <c r="E48" s="147"/>
      <c r="F48" s="147">
        <v>1</v>
      </c>
      <c r="G48" s="146">
        <v>1</v>
      </c>
      <c r="H48" s="55"/>
      <c r="I48" s="55"/>
      <c r="J48" s="137">
        <v>1919</v>
      </c>
      <c r="K48" s="137">
        <f>27+103</f>
        <v>130</v>
      </c>
      <c r="L48" s="140">
        <f t="shared" si="1"/>
        <v>624.6155181843042</v>
      </c>
      <c r="M48" s="140"/>
    </row>
    <row r="49" spans="1:13" ht="15" customHeight="1">
      <c r="A49" s="357"/>
      <c r="B49" s="357"/>
      <c r="C49" s="359"/>
      <c r="D49" s="138">
        <v>1</v>
      </c>
      <c r="E49" s="147"/>
      <c r="F49" s="147">
        <v>1</v>
      </c>
      <c r="G49" s="146">
        <v>1</v>
      </c>
      <c r="H49" s="55"/>
      <c r="I49" s="55"/>
      <c r="J49" s="137">
        <v>1913</v>
      </c>
      <c r="K49" s="137">
        <v>140</v>
      </c>
      <c r="L49" s="140">
        <f t="shared" si="1"/>
        <v>672.6628657369429</v>
      </c>
      <c r="M49" s="140"/>
    </row>
    <row r="50" spans="1:13" ht="15" customHeight="1">
      <c r="A50" s="357"/>
      <c r="B50" s="357"/>
      <c r="C50" s="359"/>
      <c r="D50" s="138">
        <v>1</v>
      </c>
      <c r="E50" s="147"/>
      <c r="F50" s="147">
        <v>1</v>
      </c>
      <c r="G50" s="146">
        <v>1</v>
      </c>
      <c r="H50" s="55"/>
      <c r="I50" s="55"/>
      <c r="J50" s="137">
        <v>1929</v>
      </c>
      <c r="K50" s="137">
        <f>131+124</f>
        <v>255</v>
      </c>
      <c r="L50" s="140">
        <f t="shared" si="1"/>
        <v>1225.207362592289</v>
      </c>
      <c r="M50" s="140"/>
    </row>
    <row r="51" spans="1:13" ht="15" customHeight="1">
      <c r="A51" s="357"/>
      <c r="B51" s="357"/>
      <c r="C51" s="359"/>
      <c r="D51" s="138">
        <v>1</v>
      </c>
      <c r="E51" s="147">
        <v>1</v>
      </c>
      <c r="F51" s="147"/>
      <c r="G51" s="146">
        <v>1</v>
      </c>
      <c r="H51" s="55"/>
      <c r="I51" s="55"/>
      <c r="J51" s="137">
        <v>1933</v>
      </c>
      <c r="K51" s="137">
        <f>174+126</f>
        <v>300</v>
      </c>
      <c r="L51" s="140">
        <f t="shared" si="1"/>
        <v>1441.4204265791634</v>
      </c>
      <c r="M51" s="140"/>
    </row>
    <row r="52" spans="1:13" ht="15" customHeight="1">
      <c r="A52" s="357"/>
      <c r="B52" s="357"/>
      <c r="C52" s="359"/>
      <c r="D52" s="138">
        <v>1</v>
      </c>
      <c r="E52" s="147">
        <v>1</v>
      </c>
      <c r="F52" s="147"/>
      <c r="G52" s="146">
        <v>1</v>
      </c>
      <c r="H52" s="55"/>
      <c r="I52" s="55"/>
      <c r="J52" s="137">
        <v>1940</v>
      </c>
      <c r="K52" s="137">
        <f>28+117</f>
        <v>145</v>
      </c>
      <c r="L52" s="140">
        <f t="shared" si="1"/>
        <v>696.6865395132623</v>
      </c>
      <c r="M52" s="140"/>
    </row>
    <row r="53" spans="1:13" ht="15" customHeight="1">
      <c r="A53" s="357"/>
      <c r="B53" s="357"/>
      <c r="C53" s="359"/>
      <c r="D53" s="138">
        <v>1</v>
      </c>
      <c r="E53" s="147">
        <v>1</v>
      </c>
      <c r="F53" s="147"/>
      <c r="G53" s="146">
        <v>1</v>
      </c>
      <c r="H53" s="55"/>
      <c r="I53" s="55"/>
      <c r="J53" s="137">
        <v>1935</v>
      </c>
      <c r="K53" s="137">
        <f>145+207</f>
        <v>352</v>
      </c>
      <c r="L53" s="140">
        <f t="shared" si="1"/>
        <v>1691.266633852885</v>
      </c>
      <c r="M53" s="140"/>
    </row>
    <row r="54" spans="1:13" ht="15" customHeight="1">
      <c r="A54" s="357"/>
      <c r="B54" s="357"/>
      <c r="C54" s="359"/>
      <c r="D54" s="138">
        <v>1</v>
      </c>
      <c r="E54" s="147"/>
      <c r="F54" s="147">
        <v>1</v>
      </c>
      <c r="G54" s="146">
        <v>1</v>
      </c>
      <c r="H54" s="55"/>
      <c r="I54" s="55"/>
      <c r="J54" s="137">
        <v>1923</v>
      </c>
      <c r="K54" s="137">
        <v>77</v>
      </c>
      <c r="L54" s="140">
        <f t="shared" si="1"/>
        <v>369.9645761553186</v>
      </c>
      <c r="M54" s="140"/>
    </row>
    <row r="55" spans="1:13" ht="15" customHeight="1">
      <c r="A55" s="357"/>
      <c r="B55" s="357"/>
      <c r="C55" s="359"/>
      <c r="D55" s="138">
        <v>1</v>
      </c>
      <c r="E55" s="147">
        <v>1</v>
      </c>
      <c r="F55" s="147"/>
      <c r="G55" s="146">
        <v>1</v>
      </c>
      <c r="H55" s="55"/>
      <c r="I55" s="55"/>
      <c r="J55" s="137">
        <v>1973</v>
      </c>
      <c r="K55" s="137">
        <f>116+84</f>
        <v>200</v>
      </c>
      <c r="L55" s="140">
        <f t="shared" si="1"/>
        <v>960.9469510527756</v>
      </c>
      <c r="M55" s="140"/>
    </row>
    <row r="56" spans="1:13" ht="15" customHeight="1">
      <c r="A56" s="357"/>
      <c r="B56" s="357"/>
      <c r="C56" s="359"/>
      <c r="D56" s="138">
        <v>1</v>
      </c>
      <c r="E56" s="147">
        <v>1</v>
      </c>
      <c r="F56" s="147"/>
      <c r="G56" s="146">
        <v>1</v>
      </c>
      <c r="H56" s="55"/>
      <c r="I56" s="55"/>
      <c r="J56" s="137">
        <v>1935</v>
      </c>
      <c r="K56" s="137">
        <f>180+95</f>
        <v>275</v>
      </c>
      <c r="L56" s="140">
        <f t="shared" si="1"/>
        <v>1321.3020576975664</v>
      </c>
      <c r="M56" s="140"/>
    </row>
    <row r="57" spans="1:13" ht="15" customHeight="1">
      <c r="A57" s="357"/>
      <c r="B57" s="357"/>
      <c r="C57" s="359"/>
      <c r="D57" s="138">
        <v>1</v>
      </c>
      <c r="E57" s="147"/>
      <c r="F57" s="147">
        <v>1</v>
      </c>
      <c r="G57" s="146">
        <v>1</v>
      </c>
      <c r="H57" s="55"/>
      <c r="I57" s="55"/>
      <c r="J57" s="137">
        <v>1928</v>
      </c>
      <c r="K57" s="137">
        <f>76+82</f>
        <v>158</v>
      </c>
      <c r="L57" s="140">
        <f t="shared" si="1"/>
        <v>759.1480913316927</v>
      </c>
      <c r="M57" s="140"/>
    </row>
    <row r="58" spans="1:13" ht="15" customHeight="1">
      <c r="A58" s="357"/>
      <c r="B58" s="357"/>
      <c r="C58" s="359"/>
      <c r="D58" s="138">
        <v>1</v>
      </c>
      <c r="E58" s="147"/>
      <c r="F58" s="147">
        <v>1</v>
      </c>
      <c r="G58" s="146">
        <v>1</v>
      </c>
      <c r="H58" s="55"/>
      <c r="I58" s="55"/>
      <c r="J58" s="137">
        <v>1931</v>
      </c>
      <c r="K58" s="137">
        <f>157+128</f>
        <v>285</v>
      </c>
      <c r="L58" s="140">
        <f t="shared" si="1"/>
        <v>1369.349405250205</v>
      </c>
      <c r="M58" s="140"/>
    </row>
    <row r="59" spans="1:13" ht="15" customHeight="1">
      <c r="A59" s="357"/>
      <c r="B59" s="357"/>
      <c r="C59" s="359"/>
      <c r="D59" s="138">
        <v>1</v>
      </c>
      <c r="E59" s="147">
        <v>1</v>
      </c>
      <c r="F59" s="147"/>
      <c r="G59" s="146">
        <v>1</v>
      </c>
      <c r="H59" s="55"/>
      <c r="I59" s="55"/>
      <c r="J59" s="137">
        <v>1945</v>
      </c>
      <c r="K59" s="137">
        <v>13</v>
      </c>
      <c r="L59" s="140">
        <f t="shared" si="1"/>
        <v>62.461551818430415</v>
      </c>
      <c r="M59" s="140"/>
    </row>
    <row r="60" spans="1:13" ht="15" customHeight="1">
      <c r="A60" s="357"/>
      <c r="B60" s="357"/>
      <c r="C60" s="359"/>
      <c r="D60" s="138">
        <v>1</v>
      </c>
      <c r="E60" s="147">
        <v>1</v>
      </c>
      <c r="F60" s="147"/>
      <c r="G60" s="146">
        <v>1</v>
      </c>
      <c r="H60" s="55"/>
      <c r="I60" s="55"/>
      <c r="J60" s="137">
        <v>1936</v>
      </c>
      <c r="K60" s="137">
        <v>4</v>
      </c>
      <c r="L60" s="140">
        <f t="shared" si="1"/>
        <v>19.21893902105551</v>
      </c>
      <c r="M60" s="140"/>
    </row>
    <row r="61" spans="1:13" ht="15" customHeight="1">
      <c r="A61" s="357"/>
      <c r="B61" s="357"/>
      <c r="C61" s="359"/>
      <c r="D61" s="138">
        <v>1</v>
      </c>
      <c r="E61" s="147">
        <v>1</v>
      </c>
      <c r="F61" s="147"/>
      <c r="G61" s="146">
        <v>1</v>
      </c>
      <c r="H61" s="55"/>
      <c r="I61" s="55"/>
      <c r="J61" s="137">
        <v>1923</v>
      </c>
      <c r="K61" s="137">
        <f>110+105</f>
        <v>215</v>
      </c>
      <c r="L61" s="140">
        <f t="shared" si="1"/>
        <v>1033.0179723817337</v>
      </c>
      <c r="M61" s="140"/>
    </row>
    <row r="62" spans="1:13" ht="15" customHeight="1">
      <c r="A62" s="357"/>
      <c r="B62" s="357"/>
      <c r="C62" s="359"/>
      <c r="D62" s="138">
        <v>1</v>
      </c>
      <c r="E62" s="147"/>
      <c r="F62" s="147">
        <v>1</v>
      </c>
      <c r="G62" s="146">
        <v>1</v>
      </c>
      <c r="H62" s="55"/>
      <c r="I62" s="55"/>
      <c r="J62" s="137">
        <v>1931</v>
      </c>
      <c r="K62" s="137">
        <v>24</v>
      </c>
      <c r="L62" s="140">
        <f t="shared" si="1"/>
        <v>115.31363412633307</v>
      </c>
      <c r="M62" s="140"/>
    </row>
    <row r="63" spans="1:13" ht="15" customHeight="1">
      <c r="A63" s="357"/>
      <c r="B63" s="357"/>
      <c r="C63" s="359"/>
      <c r="D63" s="138">
        <v>1</v>
      </c>
      <c r="E63" s="147"/>
      <c r="F63" s="147">
        <v>1</v>
      </c>
      <c r="G63" s="146">
        <v>1</v>
      </c>
      <c r="H63" s="55"/>
      <c r="I63" s="55"/>
      <c r="J63" s="137">
        <v>1943</v>
      </c>
      <c r="K63" s="137">
        <v>51</v>
      </c>
      <c r="L63" s="140">
        <f t="shared" si="1"/>
        <v>245.04147251845777</v>
      </c>
      <c r="M63" s="140"/>
    </row>
    <row r="64" spans="1:13" ht="15" customHeight="1">
      <c r="A64" s="357"/>
      <c r="B64" s="357"/>
      <c r="C64" s="359"/>
      <c r="D64" s="138">
        <v>1</v>
      </c>
      <c r="E64" s="147"/>
      <c r="F64" s="147">
        <v>1</v>
      </c>
      <c r="G64" s="146">
        <v>1</v>
      </c>
      <c r="H64" s="55"/>
      <c r="I64" s="55"/>
      <c r="J64" s="137">
        <v>1943</v>
      </c>
      <c r="K64" s="137">
        <v>74</v>
      </c>
      <c r="L64" s="140">
        <f t="shared" si="1"/>
        <v>355.55037188952696</v>
      </c>
      <c r="M64" s="140"/>
    </row>
    <row r="65" spans="1:13" ht="15" customHeight="1">
      <c r="A65" s="357"/>
      <c r="B65" s="357"/>
      <c r="C65" s="359"/>
      <c r="D65" s="138">
        <v>1</v>
      </c>
      <c r="E65" s="147"/>
      <c r="F65" s="147">
        <v>1</v>
      </c>
      <c r="G65" s="146">
        <v>1</v>
      </c>
      <c r="H65" s="55"/>
      <c r="I65" s="55"/>
      <c r="J65" s="137">
        <v>1923</v>
      </c>
      <c r="K65" s="137">
        <f>119+109</f>
        <v>228</v>
      </c>
      <c r="L65" s="140">
        <f t="shared" si="1"/>
        <v>1095.4795242001642</v>
      </c>
      <c r="M65" s="140"/>
    </row>
    <row r="66" spans="1:13" ht="15" customHeight="1">
      <c r="A66" s="357"/>
      <c r="B66" s="357"/>
      <c r="C66" s="359"/>
      <c r="D66" s="138">
        <v>1</v>
      </c>
      <c r="E66" s="147">
        <v>1</v>
      </c>
      <c r="F66" s="147"/>
      <c r="G66" s="146">
        <v>1</v>
      </c>
      <c r="H66" s="55"/>
      <c r="I66" s="55"/>
      <c r="J66" s="137">
        <v>1948</v>
      </c>
      <c r="K66" s="137">
        <f>181+121</f>
        <v>302</v>
      </c>
      <c r="L66" s="140">
        <f t="shared" si="1"/>
        <v>1451.0298960896912</v>
      </c>
      <c r="M66" s="140"/>
    </row>
    <row r="67" spans="1:13" ht="15" customHeight="1">
      <c r="A67" s="357"/>
      <c r="B67" s="357"/>
      <c r="C67" s="359"/>
      <c r="D67" s="138">
        <v>1</v>
      </c>
      <c r="E67" s="147"/>
      <c r="F67" s="147">
        <v>1</v>
      </c>
      <c r="G67" s="146">
        <v>1</v>
      </c>
      <c r="H67" s="55"/>
      <c r="I67" s="55"/>
      <c r="J67" s="137">
        <v>1927</v>
      </c>
      <c r="K67" s="137">
        <v>80</v>
      </c>
      <c r="L67" s="140">
        <f t="shared" si="1"/>
        <v>384.37878042111026</v>
      </c>
      <c r="M67" s="140"/>
    </row>
    <row r="68" spans="1:13" ht="15" customHeight="1">
      <c r="A68" s="357"/>
      <c r="B68" s="357"/>
      <c r="C68" s="359"/>
      <c r="D68" s="138">
        <v>1</v>
      </c>
      <c r="E68" s="147"/>
      <c r="F68" s="147">
        <v>1</v>
      </c>
      <c r="G68" s="146">
        <v>1</v>
      </c>
      <c r="H68" s="55"/>
      <c r="I68" s="55"/>
      <c r="J68" s="137">
        <v>1920</v>
      </c>
      <c r="K68" s="137">
        <f>180+126</f>
        <v>306</v>
      </c>
      <c r="L68" s="140">
        <f t="shared" si="1"/>
        <v>1470.2488351107465</v>
      </c>
      <c r="M68" s="140"/>
    </row>
    <row r="69" spans="1:13" ht="15" customHeight="1">
      <c r="A69" s="357"/>
      <c r="B69" s="357"/>
      <c r="C69" s="359"/>
      <c r="D69" s="138">
        <v>1</v>
      </c>
      <c r="E69" s="147">
        <v>1</v>
      </c>
      <c r="F69" s="147"/>
      <c r="G69" s="146">
        <v>1</v>
      </c>
      <c r="H69" s="55"/>
      <c r="I69" s="55"/>
      <c r="J69" s="137">
        <v>1966</v>
      </c>
      <c r="K69" s="137">
        <f>204+138</f>
        <v>342</v>
      </c>
      <c r="L69" s="140">
        <f t="shared" si="1"/>
        <v>1643.2192863002463</v>
      </c>
      <c r="M69" s="140"/>
    </row>
    <row r="70" spans="1:13" ht="15" customHeight="1">
      <c r="A70" s="357"/>
      <c r="B70" s="357"/>
      <c r="C70" s="359"/>
      <c r="D70" s="138">
        <v>1</v>
      </c>
      <c r="E70" s="147">
        <v>1</v>
      </c>
      <c r="F70" s="147"/>
      <c r="G70" s="146">
        <v>1</v>
      </c>
      <c r="H70" s="55"/>
      <c r="I70" s="55"/>
      <c r="J70" s="137">
        <v>1928</v>
      </c>
      <c r="K70" s="137">
        <v>38</v>
      </c>
      <c r="L70" s="140">
        <f t="shared" si="1"/>
        <v>182.57992070002737</v>
      </c>
      <c r="M70" s="140"/>
    </row>
    <row r="71" spans="1:13" ht="15" customHeight="1">
      <c r="A71" s="357"/>
      <c r="B71" s="357"/>
      <c r="C71" s="359"/>
      <c r="D71" s="138">
        <v>1</v>
      </c>
      <c r="E71" s="147">
        <v>1</v>
      </c>
      <c r="F71" s="147"/>
      <c r="G71" s="146">
        <v>1</v>
      </c>
      <c r="H71" s="55"/>
      <c r="I71" s="55"/>
      <c r="J71" s="137">
        <v>1972</v>
      </c>
      <c r="K71" s="137">
        <v>1</v>
      </c>
      <c r="L71" s="140">
        <f t="shared" si="1"/>
        <v>4.804734755263878</v>
      </c>
      <c r="M71" s="140"/>
    </row>
    <row r="72" spans="1:13" ht="15" customHeight="1">
      <c r="A72" s="357"/>
      <c r="B72" s="357"/>
      <c r="C72" s="359"/>
      <c r="D72" s="138">
        <v>1</v>
      </c>
      <c r="E72" s="147">
        <v>1</v>
      </c>
      <c r="F72" s="147"/>
      <c r="G72" s="146">
        <v>1</v>
      </c>
      <c r="H72" s="55"/>
      <c r="I72" s="55"/>
      <c r="J72" s="137">
        <v>1930</v>
      </c>
      <c r="K72" s="137">
        <f>199+7</f>
        <v>206</v>
      </c>
      <c r="L72" s="140">
        <f t="shared" si="1"/>
        <v>989.7753595843589</v>
      </c>
      <c r="M72" s="140"/>
    </row>
    <row r="73" spans="1:13" ht="15" customHeight="1">
      <c r="A73" s="357"/>
      <c r="B73" s="357"/>
      <c r="C73" s="359"/>
      <c r="D73" s="138">
        <v>1</v>
      </c>
      <c r="E73" s="147"/>
      <c r="F73" s="147">
        <v>1</v>
      </c>
      <c r="G73" s="146">
        <v>1</v>
      </c>
      <c r="H73" s="55"/>
      <c r="I73" s="55"/>
      <c r="J73" s="137">
        <v>1931</v>
      </c>
      <c r="K73" s="137">
        <f>58+131</f>
        <v>189</v>
      </c>
      <c r="L73" s="140">
        <f t="shared" si="1"/>
        <v>908.0948687448729</v>
      </c>
      <c r="M73" s="140"/>
    </row>
    <row r="74" spans="1:13" ht="15" customHeight="1">
      <c r="A74" s="357"/>
      <c r="B74" s="357"/>
      <c r="C74" s="359"/>
      <c r="D74" s="138">
        <v>1</v>
      </c>
      <c r="E74" s="147"/>
      <c r="F74" s="147">
        <v>1</v>
      </c>
      <c r="G74" s="146"/>
      <c r="H74" s="147">
        <v>1</v>
      </c>
      <c r="I74" s="96" t="s">
        <v>27</v>
      </c>
      <c r="J74" s="137">
        <v>1954</v>
      </c>
      <c r="K74" s="137">
        <v>48</v>
      </c>
      <c r="L74" s="140">
        <f t="shared" si="1"/>
        <v>230.62726825266614</v>
      </c>
      <c r="M74" s="140"/>
    </row>
    <row r="75" spans="1:13" ht="15" customHeight="1">
      <c r="A75" s="357"/>
      <c r="B75" s="357"/>
      <c r="C75" s="359"/>
      <c r="D75" s="138">
        <v>1</v>
      </c>
      <c r="E75" s="147"/>
      <c r="F75" s="147">
        <v>1</v>
      </c>
      <c r="G75" s="146">
        <v>1</v>
      </c>
      <c r="H75" s="55"/>
      <c r="I75" s="55"/>
      <c r="J75" s="137">
        <v>1920</v>
      </c>
      <c r="K75" s="137">
        <v>29</v>
      </c>
      <c r="L75" s="140">
        <f t="shared" si="1"/>
        <v>139.33730790265247</v>
      </c>
      <c r="M75" s="140"/>
    </row>
    <row r="76" spans="1:14" ht="15" customHeight="1">
      <c r="A76" s="357"/>
      <c r="B76" s="357"/>
      <c r="C76" s="359"/>
      <c r="D76" s="138">
        <v>1</v>
      </c>
      <c r="E76" s="147"/>
      <c r="F76" s="147">
        <v>1</v>
      </c>
      <c r="G76" s="146">
        <v>1</v>
      </c>
      <c r="H76" s="55"/>
      <c r="I76" s="55"/>
      <c r="J76" s="137">
        <v>1933</v>
      </c>
      <c r="K76" s="137">
        <v>11</v>
      </c>
      <c r="L76" s="140">
        <f t="shared" si="1"/>
        <v>52.852082307902656</v>
      </c>
      <c r="M76" s="140"/>
      <c r="N76" s="57"/>
    </row>
    <row r="77" spans="1:14" ht="15" customHeight="1">
      <c r="A77" s="357"/>
      <c r="B77" s="357"/>
      <c r="C77" s="359"/>
      <c r="D77" s="138">
        <v>1</v>
      </c>
      <c r="E77" s="147">
        <v>1</v>
      </c>
      <c r="F77" s="147"/>
      <c r="G77" s="146">
        <v>1</v>
      </c>
      <c r="H77" s="55"/>
      <c r="I77" s="55"/>
      <c r="J77" s="137">
        <v>1943</v>
      </c>
      <c r="K77" s="137">
        <v>32</v>
      </c>
      <c r="L77" s="140">
        <f t="shared" si="1"/>
        <v>153.7515121684441</v>
      </c>
      <c r="M77" s="140"/>
      <c r="N77" s="57"/>
    </row>
    <row r="78" spans="1:14" ht="15" customHeight="1">
      <c r="A78" s="357"/>
      <c r="B78" s="357"/>
      <c r="C78" s="359"/>
      <c r="D78" s="138">
        <v>1</v>
      </c>
      <c r="E78" s="147">
        <v>1</v>
      </c>
      <c r="F78" s="147"/>
      <c r="G78" s="146">
        <v>1</v>
      </c>
      <c r="H78" s="55"/>
      <c r="I78" s="55"/>
      <c r="J78" s="137">
        <v>1922</v>
      </c>
      <c r="K78" s="137">
        <v>7</v>
      </c>
      <c r="L78" s="140">
        <f t="shared" si="1"/>
        <v>33.633143286847144</v>
      </c>
      <c r="M78" s="140"/>
      <c r="N78" s="57"/>
    </row>
    <row r="79" spans="1:14" ht="15" customHeight="1">
      <c r="A79" s="357"/>
      <c r="B79" s="357"/>
      <c r="C79" s="359"/>
      <c r="D79" s="138">
        <v>1</v>
      </c>
      <c r="E79" s="147"/>
      <c r="F79" s="147">
        <v>1</v>
      </c>
      <c r="G79" s="146">
        <v>1</v>
      </c>
      <c r="H79" s="55"/>
      <c r="I79" s="55"/>
      <c r="J79" s="137">
        <v>1924</v>
      </c>
      <c r="K79" s="137">
        <v>154</v>
      </c>
      <c r="L79" s="140">
        <f t="shared" si="1"/>
        <v>739.9291523106372</v>
      </c>
      <c r="M79" s="140"/>
      <c r="N79" s="57"/>
    </row>
    <row r="80" spans="1:14" ht="15" customHeight="1">
      <c r="A80" s="357"/>
      <c r="B80" s="357"/>
      <c r="C80" s="359"/>
      <c r="D80" s="138">
        <v>1</v>
      </c>
      <c r="E80" s="147">
        <v>1</v>
      </c>
      <c r="F80" s="147"/>
      <c r="G80" s="146">
        <v>1</v>
      </c>
      <c r="H80" s="55"/>
      <c r="I80" s="55"/>
      <c r="J80" s="137">
        <v>1946</v>
      </c>
      <c r="K80" s="137">
        <v>37</v>
      </c>
      <c r="L80" s="140">
        <f t="shared" si="1"/>
        <v>177.77518594476348</v>
      </c>
      <c r="M80" s="140"/>
      <c r="N80" s="57"/>
    </row>
    <row r="81" spans="1:14" ht="15" customHeight="1">
      <c r="A81" s="357"/>
      <c r="B81" s="357"/>
      <c r="C81" s="359"/>
      <c r="D81" s="138">
        <v>1</v>
      </c>
      <c r="E81" s="147"/>
      <c r="F81" s="147">
        <v>1</v>
      </c>
      <c r="G81" s="146">
        <v>1</v>
      </c>
      <c r="H81" s="55"/>
      <c r="I81" s="55"/>
      <c r="J81" s="137">
        <v>1937</v>
      </c>
      <c r="K81" s="137">
        <v>29</v>
      </c>
      <c r="L81" s="140">
        <f t="shared" si="1"/>
        <v>139.33730790265247</v>
      </c>
      <c r="M81" s="140"/>
      <c r="N81" s="57"/>
    </row>
    <row r="82" spans="1:14" ht="15" customHeight="1">
      <c r="A82" s="357"/>
      <c r="B82" s="357"/>
      <c r="C82" s="359"/>
      <c r="D82" s="138">
        <v>1</v>
      </c>
      <c r="E82" s="147">
        <v>1</v>
      </c>
      <c r="F82" s="147"/>
      <c r="G82" s="146">
        <v>1</v>
      </c>
      <c r="H82" s="55"/>
      <c r="I82" s="55"/>
      <c r="J82" s="137">
        <v>1922</v>
      </c>
      <c r="K82" s="137">
        <f>77+46</f>
        <v>123</v>
      </c>
      <c r="L82" s="140">
        <f t="shared" si="1"/>
        <v>590.982374897457</v>
      </c>
      <c r="M82" s="140"/>
      <c r="N82" s="57"/>
    </row>
    <row r="83" spans="1:13" s="87" customFormat="1" ht="15" customHeight="1">
      <c r="A83" s="374" t="s">
        <v>94</v>
      </c>
      <c r="B83" s="374"/>
      <c r="C83" s="84"/>
      <c r="D83" s="103">
        <f>SUM(D32:D82)</f>
        <v>51</v>
      </c>
      <c r="E83" s="103">
        <f>SUM(E32:E82)</f>
        <v>22</v>
      </c>
      <c r="F83" s="103">
        <f>SUM(F32:F82)</f>
        <v>29</v>
      </c>
      <c r="G83" s="103">
        <f>SUM(G32:G82)</f>
        <v>50</v>
      </c>
      <c r="H83" s="143">
        <f>SUM(H32:H82)</f>
        <v>1</v>
      </c>
      <c r="I83" s="143"/>
      <c r="J83" s="143"/>
      <c r="K83" s="103">
        <f>SUM(K32:K82)</f>
        <v>7314</v>
      </c>
      <c r="L83" s="84"/>
      <c r="M83" s="162">
        <v>35141.83</v>
      </c>
    </row>
    <row r="84" spans="1:16" s="87" customFormat="1" ht="15" customHeight="1">
      <c r="A84" s="381" t="s">
        <v>79</v>
      </c>
      <c r="B84" s="381"/>
      <c r="C84" s="48"/>
      <c r="D84" s="48"/>
      <c r="E84" s="48"/>
      <c r="F84" s="48"/>
      <c r="G84" s="48"/>
      <c r="H84" s="48"/>
      <c r="I84" s="48"/>
      <c r="J84" s="48"/>
      <c r="K84" s="48"/>
      <c r="L84" s="48"/>
      <c r="M84" s="48"/>
      <c r="N84" s="131"/>
      <c r="O84" s="132"/>
      <c r="P84" s="133"/>
    </row>
    <row r="85" spans="1:14" ht="38.25" customHeight="1">
      <c r="A85" s="52" t="s">
        <v>5</v>
      </c>
      <c r="B85" s="52" t="s">
        <v>1</v>
      </c>
      <c r="C85" s="52" t="s">
        <v>3</v>
      </c>
      <c r="D85" s="52" t="s">
        <v>120</v>
      </c>
      <c r="E85" s="52" t="s">
        <v>90</v>
      </c>
      <c r="F85" s="52" t="s">
        <v>91</v>
      </c>
      <c r="G85" s="52" t="s">
        <v>140</v>
      </c>
      <c r="H85" s="52" t="s">
        <v>127</v>
      </c>
      <c r="I85" s="52" t="s">
        <v>159</v>
      </c>
      <c r="J85" s="52" t="s">
        <v>119</v>
      </c>
      <c r="K85" s="52" t="s">
        <v>141</v>
      </c>
      <c r="L85" s="52" t="s">
        <v>124</v>
      </c>
      <c r="M85" s="52" t="s">
        <v>185</v>
      </c>
      <c r="N85" s="62"/>
    </row>
    <row r="86" spans="1:13" ht="15" customHeight="1">
      <c r="A86" s="366"/>
      <c r="B86" s="357"/>
      <c r="C86" s="359"/>
      <c r="D86" s="138">
        <v>1</v>
      </c>
      <c r="E86" s="147">
        <v>1</v>
      </c>
      <c r="F86" s="147"/>
      <c r="G86" s="147">
        <v>1</v>
      </c>
      <c r="H86" s="55"/>
      <c r="I86" s="55"/>
      <c r="J86" s="139">
        <v>1932</v>
      </c>
      <c r="K86" s="137">
        <v>229</v>
      </c>
      <c r="L86" s="140">
        <f>6235.81/1281*K86</f>
        <v>1114.7544808743169</v>
      </c>
      <c r="M86" s="140"/>
    </row>
    <row r="87" spans="1:13" ht="15" customHeight="1">
      <c r="A87" s="366"/>
      <c r="B87" s="357"/>
      <c r="C87" s="359"/>
      <c r="D87" s="138">
        <v>1</v>
      </c>
      <c r="E87" s="147"/>
      <c r="F87" s="147">
        <v>1</v>
      </c>
      <c r="G87" s="147">
        <v>1</v>
      </c>
      <c r="H87" s="55"/>
      <c r="I87" s="55"/>
      <c r="J87" s="139">
        <v>1926</v>
      </c>
      <c r="K87" s="137">
        <v>111</v>
      </c>
      <c r="L87" s="140">
        <f aca="true" t="shared" si="2" ref="L87:L93">6235.81/1281*K87</f>
        <v>540.3395081967213</v>
      </c>
      <c r="M87" s="140"/>
    </row>
    <row r="88" spans="1:13" ht="15" customHeight="1">
      <c r="A88" s="366"/>
      <c r="B88" s="357"/>
      <c r="C88" s="359"/>
      <c r="D88" s="138">
        <v>1</v>
      </c>
      <c r="E88" s="147"/>
      <c r="F88" s="147">
        <v>1</v>
      </c>
      <c r="G88" s="147">
        <v>1</v>
      </c>
      <c r="H88" s="55"/>
      <c r="I88" s="55"/>
      <c r="J88" s="139">
        <v>1933</v>
      </c>
      <c r="K88" s="137">
        <v>229</v>
      </c>
      <c r="L88" s="140">
        <f t="shared" si="2"/>
        <v>1114.7544808743169</v>
      </c>
      <c r="M88" s="140"/>
    </row>
    <row r="89" spans="1:13" ht="15" customHeight="1">
      <c r="A89" s="366"/>
      <c r="B89" s="357"/>
      <c r="C89" s="359"/>
      <c r="D89" s="138">
        <v>1</v>
      </c>
      <c r="E89" s="147">
        <v>1</v>
      </c>
      <c r="F89" s="147"/>
      <c r="G89" s="147">
        <v>1</v>
      </c>
      <c r="H89" s="55"/>
      <c r="I89" s="55"/>
      <c r="J89" s="139">
        <v>1927</v>
      </c>
      <c r="K89" s="137">
        <v>250</v>
      </c>
      <c r="L89" s="140">
        <f t="shared" si="2"/>
        <v>1216.98087431694</v>
      </c>
      <c r="M89" s="140"/>
    </row>
    <row r="90" spans="1:13" ht="15" customHeight="1">
      <c r="A90" s="366"/>
      <c r="B90" s="357"/>
      <c r="C90" s="359"/>
      <c r="D90" s="138">
        <v>1</v>
      </c>
      <c r="E90" s="147">
        <v>1</v>
      </c>
      <c r="F90" s="147"/>
      <c r="G90" s="147">
        <v>1</v>
      </c>
      <c r="H90" s="55"/>
      <c r="I90" s="55"/>
      <c r="J90" s="139">
        <v>1914</v>
      </c>
      <c r="K90" s="137">
        <v>193</v>
      </c>
      <c r="L90" s="140">
        <f t="shared" si="2"/>
        <v>939.5092349726776</v>
      </c>
      <c r="M90" s="140"/>
    </row>
    <row r="91" spans="1:13" ht="15" customHeight="1">
      <c r="A91" s="366"/>
      <c r="B91" s="357"/>
      <c r="C91" s="359"/>
      <c r="D91" s="138">
        <v>1</v>
      </c>
      <c r="E91" s="147">
        <v>1</v>
      </c>
      <c r="F91" s="147"/>
      <c r="G91" s="147">
        <v>1</v>
      </c>
      <c r="H91" s="55"/>
      <c r="I91" s="55"/>
      <c r="J91" s="139">
        <v>1933</v>
      </c>
      <c r="K91" s="137">
        <v>69</v>
      </c>
      <c r="L91" s="140">
        <f t="shared" si="2"/>
        <v>335.8867213114754</v>
      </c>
      <c r="M91" s="140"/>
    </row>
    <row r="92" spans="1:13" ht="15" customHeight="1">
      <c r="A92" s="366"/>
      <c r="B92" s="357"/>
      <c r="C92" s="359"/>
      <c r="D92" s="138">
        <v>1</v>
      </c>
      <c r="E92" s="147">
        <v>1</v>
      </c>
      <c r="F92" s="147"/>
      <c r="G92" s="147">
        <v>1</v>
      </c>
      <c r="H92" s="55"/>
      <c r="I92" s="55"/>
      <c r="J92" s="139">
        <v>1928</v>
      </c>
      <c r="K92" s="137">
        <v>172</v>
      </c>
      <c r="L92" s="140">
        <f t="shared" si="2"/>
        <v>837.2828415300546</v>
      </c>
      <c r="M92" s="140"/>
    </row>
    <row r="93" spans="1:13" ht="15" customHeight="1">
      <c r="A93" s="366"/>
      <c r="B93" s="357"/>
      <c r="C93" s="359"/>
      <c r="D93" s="138">
        <v>1</v>
      </c>
      <c r="E93" s="147">
        <v>1</v>
      </c>
      <c r="F93" s="147"/>
      <c r="G93" s="147">
        <v>1</v>
      </c>
      <c r="H93" s="55"/>
      <c r="I93" s="55"/>
      <c r="J93" s="139">
        <v>1927</v>
      </c>
      <c r="K93" s="137">
        <v>28</v>
      </c>
      <c r="L93" s="140">
        <f t="shared" si="2"/>
        <v>136.30185792349727</v>
      </c>
      <c r="M93" s="140"/>
    </row>
    <row r="94" spans="1:13" s="87" customFormat="1" ht="15" customHeight="1">
      <c r="A94" s="374" t="s">
        <v>95</v>
      </c>
      <c r="B94" s="374"/>
      <c r="C94" s="84"/>
      <c r="D94" s="103">
        <f>SUM(D86:D93)</f>
        <v>8</v>
      </c>
      <c r="E94" s="103">
        <f>SUM(E86:E93)</f>
        <v>6</v>
      </c>
      <c r="F94" s="103">
        <f>SUM(F86:F93)</f>
        <v>2</v>
      </c>
      <c r="G94" s="103">
        <f>SUM(G86:G93)</f>
        <v>8</v>
      </c>
      <c r="H94" s="143">
        <f>SUM(H86:H93)</f>
        <v>0</v>
      </c>
      <c r="I94" s="143"/>
      <c r="J94" s="143"/>
      <c r="K94" s="103">
        <f>SUM(K86:K93)</f>
        <v>1281</v>
      </c>
      <c r="L94" s="84"/>
      <c r="M94" s="162">
        <f>6295.16-27.39-31.96</f>
        <v>6235.8099999999995</v>
      </c>
    </row>
    <row r="95" spans="1:16" s="87" customFormat="1" ht="15" customHeight="1">
      <c r="A95" s="381" t="s">
        <v>80</v>
      </c>
      <c r="B95" s="381"/>
      <c r="C95" s="48"/>
      <c r="D95" s="48"/>
      <c r="E95" s="48"/>
      <c r="F95" s="48"/>
      <c r="G95" s="48"/>
      <c r="H95" s="48"/>
      <c r="I95" s="48"/>
      <c r="J95" s="48"/>
      <c r="K95" s="48"/>
      <c r="L95" s="48"/>
      <c r="M95" s="48"/>
      <c r="N95" s="131"/>
      <c r="O95" s="132"/>
      <c r="P95" s="133"/>
    </row>
    <row r="96" spans="1:14" ht="38.25" customHeight="1">
      <c r="A96" s="52" t="s">
        <v>5</v>
      </c>
      <c r="B96" s="52" t="s">
        <v>1</v>
      </c>
      <c r="C96" s="52" t="s">
        <v>3</v>
      </c>
      <c r="D96" s="52" t="s">
        <v>120</v>
      </c>
      <c r="E96" s="52" t="s">
        <v>90</v>
      </c>
      <c r="F96" s="52" t="s">
        <v>91</v>
      </c>
      <c r="G96" s="52" t="s">
        <v>140</v>
      </c>
      <c r="H96" s="52" t="s">
        <v>127</v>
      </c>
      <c r="I96" s="52" t="s">
        <v>159</v>
      </c>
      <c r="J96" s="52" t="s">
        <v>119</v>
      </c>
      <c r="K96" s="52" t="s">
        <v>141</v>
      </c>
      <c r="L96" s="52" t="s">
        <v>124</v>
      </c>
      <c r="M96" s="52" t="s">
        <v>185</v>
      </c>
      <c r="N96" s="62"/>
    </row>
    <row r="97" spans="1:13" ht="15" customHeight="1">
      <c r="A97" s="366"/>
      <c r="B97" s="357"/>
      <c r="C97" s="323"/>
      <c r="D97" s="138">
        <v>1</v>
      </c>
      <c r="E97" s="138">
        <v>1</v>
      </c>
      <c r="F97" s="138"/>
      <c r="G97" s="138">
        <v>1</v>
      </c>
      <c r="H97" s="55"/>
      <c r="I97" s="55"/>
      <c r="J97" s="139">
        <v>1927</v>
      </c>
      <c r="K97" s="137">
        <v>9</v>
      </c>
      <c r="L97" s="140">
        <f>16434.72/3234*K97</f>
        <v>45.73669758812616</v>
      </c>
      <c r="M97" s="140"/>
    </row>
    <row r="98" spans="1:13" ht="15" customHeight="1">
      <c r="A98" s="366"/>
      <c r="B98" s="357"/>
      <c r="C98" s="323"/>
      <c r="D98" s="138">
        <v>1</v>
      </c>
      <c r="E98" s="138"/>
      <c r="F98" s="138">
        <v>1</v>
      </c>
      <c r="G98" s="138">
        <v>1</v>
      </c>
      <c r="H98" s="55"/>
      <c r="I98" s="55"/>
      <c r="J98" s="139">
        <v>1963</v>
      </c>
      <c r="K98" s="137">
        <v>34</v>
      </c>
      <c r="L98" s="140">
        <f aca="true" t="shared" si="3" ref="L98:L115">16434.72/3234*K98</f>
        <v>172.7830797773655</v>
      </c>
      <c r="M98" s="140"/>
    </row>
    <row r="99" spans="1:13" ht="15" customHeight="1">
      <c r="A99" s="366"/>
      <c r="B99" s="357"/>
      <c r="C99" s="323"/>
      <c r="D99" s="138">
        <v>1</v>
      </c>
      <c r="E99" s="138"/>
      <c r="F99" s="138">
        <v>1</v>
      </c>
      <c r="G99" s="138">
        <v>1</v>
      </c>
      <c r="H99" s="55"/>
      <c r="I99" s="55"/>
      <c r="J99" s="139">
        <v>1936</v>
      </c>
      <c r="K99" s="137">
        <f>213+143</f>
        <v>356</v>
      </c>
      <c r="L99" s="140">
        <f t="shared" si="3"/>
        <v>1809.1404823747682</v>
      </c>
      <c r="M99" s="140"/>
    </row>
    <row r="100" spans="1:13" ht="15" customHeight="1">
      <c r="A100" s="366"/>
      <c r="B100" s="357"/>
      <c r="C100" s="323"/>
      <c r="D100" s="138">
        <v>1</v>
      </c>
      <c r="E100" s="138">
        <v>1</v>
      </c>
      <c r="F100" s="138"/>
      <c r="G100" s="138">
        <v>1</v>
      </c>
      <c r="H100" s="55"/>
      <c r="I100" s="55"/>
      <c r="J100" s="139">
        <v>1935</v>
      </c>
      <c r="K100" s="137">
        <v>248</v>
      </c>
      <c r="L100" s="140">
        <f t="shared" si="3"/>
        <v>1260.3001113172543</v>
      </c>
      <c r="M100" s="140"/>
    </row>
    <row r="101" spans="1:13" ht="15" customHeight="1">
      <c r="A101" s="366"/>
      <c r="B101" s="357"/>
      <c r="C101" s="323"/>
      <c r="D101" s="138">
        <v>1</v>
      </c>
      <c r="E101" s="138">
        <v>1</v>
      </c>
      <c r="F101" s="138"/>
      <c r="G101" s="138">
        <v>1</v>
      </c>
      <c r="H101" s="55"/>
      <c r="I101" s="55"/>
      <c r="J101" s="139">
        <v>1948</v>
      </c>
      <c r="K101" s="137">
        <f>153+89</f>
        <v>242</v>
      </c>
      <c r="L101" s="140">
        <f t="shared" si="3"/>
        <v>1229.8089795918368</v>
      </c>
      <c r="M101" s="140"/>
    </row>
    <row r="102" spans="1:13" ht="15" customHeight="1">
      <c r="A102" s="366"/>
      <c r="B102" s="357"/>
      <c r="C102" s="359"/>
      <c r="D102" s="138">
        <v>1</v>
      </c>
      <c r="E102" s="138">
        <v>1</v>
      </c>
      <c r="F102" s="138"/>
      <c r="G102" s="138">
        <v>1</v>
      </c>
      <c r="H102" s="55"/>
      <c r="I102" s="55"/>
      <c r="J102" s="139">
        <v>1951</v>
      </c>
      <c r="K102" s="137">
        <v>36</v>
      </c>
      <c r="L102" s="140">
        <f t="shared" si="3"/>
        <v>182.94679035250465</v>
      </c>
      <c r="M102" s="140"/>
    </row>
    <row r="103" spans="1:13" ht="15" customHeight="1">
      <c r="A103" s="366"/>
      <c r="B103" s="357"/>
      <c r="C103" s="323"/>
      <c r="D103" s="138">
        <v>1</v>
      </c>
      <c r="E103" s="138">
        <v>1</v>
      </c>
      <c r="F103" s="138"/>
      <c r="G103" s="138">
        <v>1</v>
      </c>
      <c r="H103" s="55"/>
      <c r="I103" s="55"/>
      <c r="J103" s="139">
        <v>1927</v>
      </c>
      <c r="K103" s="137">
        <v>21</v>
      </c>
      <c r="L103" s="140">
        <f t="shared" si="3"/>
        <v>106.71896103896104</v>
      </c>
      <c r="M103" s="140"/>
    </row>
    <row r="104" spans="1:13" ht="15" customHeight="1">
      <c r="A104" s="366"/>
      <c r="B104" s="357"/>
      <c r="C104" s="323"/>
      <c r="D104" s="138">
        <v>1</v>
      </c>
      <c r="E104" s="138"/>
      <c r="F104" s="138">
        <v>1</v>
      </c>
      <c r="G104" s="138">
        <v>1</v>
      </c>
      <c r="H104" s="55"/>
      <c r="I104" s="55"/>
      <c r="J104" s="139">
        <v>1930</v>
      </c>
      <c r="K104" s="137">
        <v>154</v>
      </c>
      <c r="L104" s="140">
        <f t="shared" si="3"/>
        <v>782.6057142857143</v>
      </c>
      <c r="M104" s="140"/>
    </row>
    <row r="105" spans="1:13" ht="15" customHeight="1">
      <c r="A105" s="366"/>
      <c r="B105" s="357"/>
      <c r="C105" s="323"/>
      <c r="D105" s="138">
        <v>1</v>
      </c>
      <c r="E105" s="138">
        <v>1</v>
      </c>
      <c r="F105" s="138"/>
      <c r="G105" s="138">
        <v>1</v>
      </c>
      <c r="H105" s="55"/>
      <c r="I105" s="55"/>
      <c r="J105" s="139">
        <v>1926</v>
      </c>
      <c r="K105" s="137">
        <f>30+94</f>
        <v>124</v>
      </c>
      <c r="L105" s="140">
        <f t="shared" si="3"/>
        <v>630.1500556586271</v>
      </c>
      <c r="M105" s="140"/>
    </row>
    <row r="106" spans="1:13" ht="15" customHeight="1">
      <c r="A106" s="366"/>
      <c r="B106" s="357"/>
      <c r="C106" s="323"/>
      <c r="D106" s="138">
        <v>1</v>
      </c>
      <c r="E106" s="138">
        <v>1</v>
      </c>
      <c r="F106" s="138"/>
      <c r="G106" s="138">
        <v>1</v>
      </c>
      <c r="H106" s="55"/>
      <c r="I106" s="55"/>
      <c r="J106" s="139">
        <v>1921</v>
      </c>
      <c r="K106" s="137">
        <v>189</v>
      </c>
      <c r="L106" s="140">
        <f t="shared" si="3"/>
        <v>960.4706493506494</v>
      </c>
      <c r="M106" s="140"/>
    </row>
    <row r="107" spans="1:13" ht="15" customHeight="1">
      <c r="A107" s="366"/>
      <c r="B107" s="357"/>
      <c r="C107" s="323"/>
      <c r="D107" s="138">
        <v>1</v>
      </c>
      <c r="E107" s="138">
        <v>1</v>
      </c>
      <c r="F107" s="138"/>
      <c r="G107" s="138">
        <v>1</v>
      </c>
      <c r="H107" s="55"/>
      <c r="I107" s="55"/>
      <c r="J107" s="139">
        <v>1923</v>
      </c>
      <c r="K107" s="137">
        <v>198</v>
      </c>
      <c r="L107" s="140">
        <f t="shared" si="3"/>
        <v>1006.2073469387756</v>
      </c>
      <c r="M107" s="140"/>
    </row>
    <row r="108" spans="1:13" ht="15" customHeight="1">
      <c r="A108" s="366"/>
      <c r="B108" s="357"/>
      <c r="C108" s="323"/>
      <c r="D108" s="138">
        <v>1</v>
      </c>
      <c r="E108" s="138"/>
      <c r="F108" s="138">
        <v>1</v>
      </c>
      <c r="G108" s="138">
        <v>1</v>
      </c>
      <c r="H108" s="55"/>
      <c r="I108" s="55"/>
      <c r="J108" s="139">
        <v>1924</v>
      </c>
      <c r="K108" s="137">
        <v>189</v>
      </c>
      <c r="L108" s="140">
        <f t="shared" si="3"/>
        <v>960.4706493506494</v>
      </c>
      <c r="M108" s="140"/>
    </row>
    <row r="109" spans="1:13" ht="15" customHeight="1">
      <c r="A109" s="366"/>
      <c r="B109" s="357"/>
      <c r="C109" s="323"/>
      <c r="D109" s="138">
        <v>1</v>
      </c>
      <c r="E109" s="138"/>
      <c r="F109" s="138">
        <v>1</v>
      </c>
      <c r="G109" s="138">
        <v>1</v>
      </c>
      <c r="H109" s="55"/>
      <c r="I109" s="55"/>
      <c r="J109" s="139">
        <v>1924</v>
      </c>
      <c r="K109" s="137">
        <v>25</v>
      </c>
      <c r="L109" s="140">
        <f t="shared" si="3"/>
        <v>127.04638218923934</v>
      </c>
      <c r="M109" s="140"/>
    </row>
    <row r="110" spans="1:13" ht="15" customHeight="1">
      <c r="A110" s="366"/>
      <c r="B110" s="357"/>
      <c r="C110" s="323"/>
      <c r="D110" s="138">
        <v>1</v>
      </c>
      <c r="E110" s="138">
        <v>1</v>
      </c>
      <c r="F110" s="138"/>
      <c r="G110" s="138">
        <v>1</v>
      </c>
      <c r="H110" s="55"/>
      <c r="I110" s="55"/>
      <c r="J110" s="139">
        <v>1927</v>
      </c>
      <c r="K110" s="137">
        <f>213+123</f>
        <v>336</v>
      </c>
      <c r="L110" s="140">
        <f t="shared" si="3"/>
        <v>1707.5033766233767</v>
      </c>
      <c r="M110" s="140"/>
    </row>
    <row r="111" spans="1:13" ht="15" customHeight="1">
      <c r="A111" s="366"/>
      <c r="B111" s="357"/>
      <c r="C111" s="323"/>
      <c r="D111" s="138">
        <v>1</v>
      </c>
      <c r="E111" s="138"/>
      <c r="F111" s="138">
        <v>1</v>
      </c>
      <c r="G111" s="138">
        <v>1</v>
      </c>
      <c r="H111" s="55"/>
      <c r="I111" s="55"/>
      <c r="J111" s="139">
        <v>1931</v>
      </c>
      <c r="K111" s="137">
        <v>38</v>
      </c>
      <c r="L111" s="140">
        <f t="shared" si="3"/>
        <v>193.11050092764378</v>
      </c>
      <c r="M111" s="140"/>
    </row>
    <row r="112" spans="1:13" ht="15" customHeight="1">
      <c r="A112" s="366"/>
      <c r="B112" s="357"/>
      <c r="C112" s="323"/>
      <c r="D112" s="138">
        <v>1</v>
      </c>
      <c r="E112" s="138"/>
      <c r="F112" s="138">
        <v>1</v>
      </c>
      <c r="G112" s="138">
        <v>1</v>
      </c>
      <c r="H112" s="55"/>
      <c r="I112" s="55"/>
      <c r="J112" s="139">
        <v>1953</v>
      </c>
      <c r="K112" s="137">
        <v>10</v>
      </c>
      <c r="L112" s="140">
        <f t="shared" si="3"/>
        <v>50.81855287569574</v>
      </c>
      <c r="M112" s="140"/>
    </row>
    <row r="113" spans="1:13" ht="15" customHeight="1">
      <c r="A113" s="366"/>
      <c r="B113" s="357"/>
      <c r="C113" s="323"/>
      <c r="D113" s="138">
        <v>1</v>
      </c>
      <c r="E113" s="138">
        <v>1</v>
      </c>
      <c r="F113" s="138"/>
      <c r="G113" s="138">
        <v>1</v>
      </c>
      <c r="H113" s="55"/>
      <c r="I113" s="55"/>
      <c r="J113" s="139">
        <v>1948</v>
      </c>
      <c r="K113" s="137">
        <f>95+121</f>
        <v>216</v>
      </c>
      <c r="L113" s="140">
        <f t="shared" si="3"/>
        <v>1097.680742115028</v>
      </c>
      <c r="M113" s="140"/>
    </row>
    <row r="114" spans="1:13" ht="15" customHeight="1">
      <c r="A114" s="366"/>
      <c r="B114" s="357"/>
      <c r="C114" s="323"/>
      <c r="D114" s="138">
        <v>1</v>
      </c>
      <c r="E114" s="138">
        <v>1</v>
      </c>
      <c r="F114" s="138"/>
      <c r="G114" s="138">
        <v>1</v>
      </c>
      <c r="H114" s="55"/>
      <c r="I114" s="55"/>
      <c r="J114" s="139">
        <v>1931</v>
      </c>
      <c r="K114" s="137">
        <f>213+143</f>
        <v>356</v>
      </c>
      <c r="L114" s="140">
        <f t="shared" si="3"/>
        <v>1809.1404823747682</v>
      </c>
      <c r="M114" s="140"/>
    </row>
    <row r="115" spans="1:13" ht="15" customHeight="1">
      <c r="A115" s="366"/>
      <c r="B115" s="357"/>
      <c r="C115" s="323"/>
      <c r="D115" s="138">
        <v>1</v>
      </c>
      <c r="E115" s="138">
        <v>1</v>
      </c>
      <c r="F115" s="138"/>
      <c r="G115" s="138">
        <v>1</v>
      </c>
      <c r="H115" s="55"/>
      <c r="I115" s="55"/>
      <c r="J115" s="139">
        <v>1927</v>
      </c>
      <c r="K115" s="137">
        <f>288+165</f>
        <v>453</v>
      </c>
      <c r="L115" s="140">
        <f t="shared" si="3"/>
        <v>2302.0804452690168</v>
      </c>
      <c r="M115" s="140"/>
    </row>
    <row r="116" spans="1:14" s="87" customFormat="1" ht="15" customHeight="1">
      <c r="A116" s="374" t="s">
        <v>96</v>
      </c>
      <c r="B116" s="374"/>
      <c r="C116" s="84"/>
      <c r="D116" s="103">
        <f>SUM(D97:D115)</f>
        <v>19</v>
      </c>
      <c r="E116" s="103">
        <f>SUM(E97:E115)</f>
        <v>12</v>
      </c>
      <c r="F116" s="103">
        <f>SUM(F97:F115)</f>
        <v>7</v>
      </c>
      <c r="G116" s="103">
        <f>SUM(G97:G115)</f>
        <v>19</v>
      </c>
      <c r="H116" s="143">
        <f>SUM(H97:H115)</f>
        <v>0</v>
      </c>
      <c r="I116" s="143"/>
      <c r="J116" s="143"/>
      <c r="K116" s="103">
        <f>SUM(K97:K115)</f>
        <v>3234</v>
      </c>
      <c r="L116" s="84"/>
      <c r="M116" s="162">
        <v>16434.72</v>
      </c>
      <c r="N116" s="149"/>
    </row>
    <row r="117" spans="1:16" s="87" customFormat="1" ht="15" customHeight="1">
      <c r="A117" s="381" t="s">
        <v>81</v>
      </c>
      <c r="B117" s="381"/>
      <c r="C117" s="48"/>
      <c r="D117" s="48"/>
      <c r="E117" s="48"/>
      <c r="F117" s="48"/>
      <c r="G117" s="48"/>
      <c r="H117" s="48"/>
      <c r="I117" s="48"/>
      <c r="J117" s="48"/>
      <c r="K117" s="48"/>
      <c r="L117" s="48"/>
      <c r="M117" s="48"/>
      <c r="N117" s="131"/>
      <c r="O117" s="132"/>
      <c r="P117" s="133"/>
    </row>
    <row r="118" spans="1:14" ht="38.25" customHeight="1">
      <c r="A118" s="52" t="s">
        <v>5</v>
      </c>
      <c r="B118" s="52" t="s">
        <v>1</v>
      </c>
      <c r="C118" s="52" t="s">
        <v>3</v>
      </c>
      <c r="D118" s="52" t="s">
        <v>120</v>
      </c>
      <c r="E118" s="52" t="s">
        <v>90</v>
      </c>
      <c r="F118" s="52" t="s">
        <v>91</v>
      </c>
      <c r="G118" s="52" t="s">
        <v>140</v>
      </c>
      <c r="H118" s="52" t="s">
        <v>127</v>
      </c>
      <c r="I118" s="52" t="s">
        <v>159</v>
      </c>
      <c r="J118" s="52" t="s">
        <v>119</v>
      </c>
      <c r="K118" s="52" t="s">
        <v>141</v>
      </c>
      <c r="L118" s="52" t="s">
        <v>124</v>
      </c>
      <c r="M118" s="52" t="s">
        <v>185</v>
      </c>
      <c r="N118" s="62"/>
    </row>
    <row r="119" spans="1:13" ht="15" customHeight="1">
      <c r="A119" s="366"/>
      <c r="B119" s="357"/>
      <c r="C119" s="323"/>
      <c r="D119" s="138">
        <v>1</v>
      </c>
      <c r="E119" s="147"/>
      <c r="F119" s="147">
        <v>1</v>
      </c>
      <c r="G119" s="138">
        <v>1</v>
      </c>
      <c r="H119" s="55"/>
      <c r="I119" s="55"/>
      <c r="J119" s="139">
        <v>1930</v>
      </c>
      <c r="K119" s="65">
        <v>179</v>
      </c>
      <c r="L119" s="140">
        <f>9108.94/2107*K119</f>
        <v>773.849197911723</v>
      </c>
      <c r="M119" s="140"/>
    </row>
    <row r="120" spans="1:13" ht="15" customHeight="1">
      <c r="A120" s="366"/>
      <c r="B120" s="357"/>
      <c r="C120" s="323"/>
      <c r="D120" s="138">
        <v>1</v>
      </c>
      <c r="E120" s="147"/>
      <c r="F120" s="147">
        <v>1</v>
      </c>
      <c r="G120" s="138">
        <v>1</v>
      </c>
      <c r="H120" s="55"/>
      <c r="I120" s="55"/>
      <c r="J120" s="139">
        <v>1941</v>
      </c>
      <c r="K120" s="65">
        <v>4</v>
      </c>
      <c r="L120" s="140">
        <f aca="true" t="shared" si="4" ref="L120:L132">9108.94/2107*K120</f>
        <v>17.292719506407217</v>
      </c>
      <c r="M120" s="140"/>
    </row>
    <row r="121" spans="1:13" ht="15" customHeight="1">
      <c r="A121" s="366"/>
      <c r="B121" s="357"/>
      <c r="C121" s="323"/>
      <c r="D121" s="138">
        <v>1</v>
      </c>
      <c r="E121" s="147">
        <v>1</v>
      </c>
      <c r="F121" s="147"/>
      <c r="G121" s="138">
        <v>1</v>
      </c>
      <c r="H121" s="55"/>
      <c r="I121" s="55"/>
      <c r="J121" s="139">
        <v>1962</v>
      </c>
      <c r="K121" s="65">
        <v>164</v>
      </c>
      <c r="L121" s="140">
        <f t="shared" si="4"/>
        <v>709.0014997626959</v>
      </c>
      <c r="M121" s="140"/>
    </row>
    <row r="122" spans="1:13" ht="15" customHeight="1">
      <c r="A122" s="366"/>
      <c r="B122" s="357"/>
      <c r="C122" s="323"/>
      <c r="D122" s="138">
        <v>1</v>
      </c>
      <c r="E122" s="147">
        <v>1</v>
      </c>
      <c r="F122" s="147"/>
      <c r="G122" s="138">
        <v>1</v>
      </c>
      <c r="H122" s="55"/>
      <c r="I122" s="55"/>
      <c r="J122" s="139">
        <v>1942</v>
      </c>
      <c r="K122" s="65">
        <v>179</v>
      </c>
      <c r="L122" s="140">
        <f t="shared" si="4"/>
        <v>773.849197911723</v>
      </c>
      <c r="M122" s="140"/>
    </row>
    <row r="123" spans="1:13" ht="15" customHeight="1">
      <c r="A123" s="366"/>
      <c r="B123" s="357"/>
      <c r="C123" s="323"/>
      <c r="D123" s="138">
        <v>1</v>
      </c>
      <c r="E123" s="147">
        <v>1</v>
      </c>
      <c r="F123" s="147"/>
      <c r="G123" s="138">
        <v>1</v>
      </c>
      <c r="H123" s="55"/>
      <c r="I123" s="55"/>
      <c r="J123" s="139">
        <v>1924</v>
      </c>
      <c r="K123" s="65">
        <v>87</v>
      </c>
      <c r="L123" s="140">
        <f t="shared" si="4"/>
        <v>376.11664926435697</v>
      </c>
      <c r="M123" s="140"/>
    </row>
    <row r="124" spans="1:13" ht="15" customHeight="1">
      <c r="A124" s="366"/>
      <c r="B124" s="357"/>
      <c r="C124" s="323"/>
      <c r="D124" s="138">
        <v>1</v>
      </c>
      <c r="E124" s="147"/>
      <c r="F124" s="147">
        <v>1</v>
      </c>
      <c r="G124" s="138">
        <v>1</v>
      </c>
      <c r="H124" s="55"/>
      <c r="I124" s="55"/>
      <c r="J124" s="139">
        <v>1936</v>
      </c>
      <c r="K124" s="65">
        <v>179</v>
      </c>
      <c r="L124" s="140">
        <f t="shared" si="4"/>
        <v>773.849197911723</v>
      </c>
      <c r="M124" s="140"/>
    </row>
    <row r="125" spans="1:13" ht="15" customHeight="1">
      <c r="A125" s="366"/>
      <c r="B125" s="357"/>
      <c r="C125" s="323"/>
      <c r="D125" s="138">
        <v>1</v>
      </c>
      <c r="E125" s="147"/>
      <c r="F125" s="147">
        <v>1</v>
      </c>
      <c r="G125" s="138">
        <v>1</v>
      </c>
      <c r="H125" s="55"/>
      <c r="I125" s="55"/>
      <c r="J125" s="139">
        <v>1929</v>
      </c>
      <c r="K125" s="147">
        <v>161</v>
      </c>
      <c r="L125" s="140">
        <f t="shared" si="4"/>
        <v>696.0319601328905</v>
      </c>
      <c r="M125" s="140"/>
    </row>
    <row r="126" spans="1:13" ht="15" customHeight="1">
      <c r="A126" s="366"/>
      <c r="B126" s="357"/>
      <c r="C126" s="323"/>
      <c r="D126" s="138">
        <v>1</v>
      </c>
      <c r="E126" s="147"/>
      <c r="F126" s="147">
        <v>1</v>
      </c>
      <c r="G126" s="138">
        <v>1</v>
      </c>
      <c r="H126" s="55"/>
      <c r="I126" s="55"/>
      <c r="J126" s="139">
        <v>1934</v>
      </c>
      <c r="K126" s="147">
        <v>163</v>
      </c>
      <c r="L126" s="140">
        <f t="shared" si="4"/>
        <v>704.6783198860941</v>
      </c>
      <c r="M126" s="140"/>
    </row>
    <row r="127" spans="1:13" ht="15" customHeight="1">
      <c r="A127" s="366"/>
      <c r="B127" s="357"/>
      <c r="C127" s="323"/>
      <c r="D127" s="138">
        <v>1</v>
      </c>
      <c r="E127" s="147"/>
      <c r="F127" s="147">
        <v>1</v>
      </c>
      <c r="G127" s="138">
        <v>1</v>
      </c>
      <c r="H127" s="55"/>
      <c r="I127" s="55"/>
      <c r="J127" s="139">
        <v>1958</v>
      </c>
      <c r="K127" s="147">
        <v>163</v>
      </c>
      <c r="L127" s="140">
        <f t="shared" si="4"/>
        <v>704.6783198860941</v>
      </c>
      <c r="M127" s="140"/>
    </row>
    <row r="128" spans="1:13" ht="15" customHeight="1">
      <c r="A128" s="366"/>
      <c r="B128" s="357"/>
      <c r="C128" s="323"/>
      <c r="D128" s="138">
        <v>1</v>
      </c>
      <c r="E128" s="147"/>
      <c r="F128" s="147">
        <v>1</v>
      </c>
      <c r="G128" s="138">
        <v>1</v>
      </c>
      <c r="H128" s="55"/>
      <c r="I128" s="55"/>
      <c r="J128" s="139">
        <v>1935</v>
      </c>
      <c r="K128" s="147">
        <v>140</v>
      </c>
      <c r="L128" s="140">
        <f t="shared" si="4"/>
        <v>605.2451827242526</v>
      </c>
      <c r="M128" s="140"/>
    </row>
    <row r="129" spans="1:13" ht="15" customHeight="1">
      <c r="A129" s="366"/>
      <c r="B129" s="357"/>
      <c r="C129" s="323"/>
      <c r="D129" s="138">
        <v>1</v>
      </c>
      <c r="E129" s="147">
        <v>1</v>
      </c>
      <c r="F129" s="147"/>
      <c r="G129" s="138">
        <v>1</v>
      </c>
      <c r="H129" s="55"/>
      <c r="I129" s="55"/>
      <c r="J129" s="139">
        <v>1923</v>
      </c>
      <c r="K129" s="65">
        <v>177</v>
      </c>
      <c r="L129" s="140">
        <f t="shared" si="4"/>
        <v>765.2028381585193</v>
      </c>
      <c r="M129" s="140"/>
    </row>
    <row r="130" spans="1:13" ht="15" customHeight="1">
      <c r="A130" s="366"/>
      <c r="B130" s="357"/>
      <c r="C130" s="323"/>
      <c r="D130" s="138">
        <v>1</v>
      </c>
      <c r="E130" s="147">
        <v>1</v>
      </c>
      <c r="F130" s="147"/>
      <c r="G130" s="138">
        <v>1</v>
      </c>
      <c r="H130" s="55"/>
      <c r="I130" s="55"/>
      <c r="J130" s="139">
        <v>1939</v>
      </c>
      <c r="K130" s="65">
        <v>176</v>
      </c>
      <c r="L130" s="140">
        <f t="shared" si="4"/>
        <v>760.8796582819175</v>
      </c>
      <c r="M130" s="140"/>
    </row>
    <row r="131" spans="1:13" ht="15" customHeight="1">
      <c r="A131" s="366"/>
      <c r="B131" s="357"/>
      <c r="C131" s="323"/>
      <c r="D131" s="138">
        <v>1</v>
      </c>
      <c r="E131" s="147">
        <v>1</v>
      </c>
      <c r="F131" s="147"/>
      <c r="G131" s="138">
        <v>1</v>
      </c>
      <c r="H131" s="55"/>
      <c r="I131" s="55"/>
      <c r="J131" s="139">
        <v>1973</v>
      </c>
      <c r="K131" s="65">
        <v>156</v>
      </c>
      <c r="L131" s="140">
        <f t="shared" si="4"/>
        <v>674.4160607498815</v>
      </c>
      <c r="M131" s="140"/>
    </row>
    <row r="132" spans="1:13" ht="15" customHeight="1">
      <c r="A132" s="366"/>
      <c r="B132" s="357"/>
      <c r="C132" s="323"/>
      <c r="D132" s="138">
        <v>1</v>
      </c>
      <c r="E132" s="147"/>
      <c r="F132" s="147">
        <v>1</v>
      </c>
      <c r="G132" s="138">
        <v>1</v>
      </c>
      <c r="H132" s="55"/>
      <c r="I132" s="55"/>
      <c r="J132" s="139">
        <v>1935</v>
      </c>
      <c r="K132" s="65">
        <v>179</v>
      </c>
      <c r="L132" s="140">
        <f t="shared" si="4"/>
        <v>773.849197911723</v>
      </c>
      <c r="M132" s="140"/>
    </row>
    <row r="133" spans="1:13" s="87" customFormat="1" ht="15" customHeight="1">
      <c r="A133" s="374" t="s">
        <v>97</v>
      </c>
      <c r="B133" s="374"/>
      <c r="C133" s="84"/>
      <c r="D133" s="103">
        <f>SUM(D119:D132)</f>
        <v>14</v>
      </c>
      <c r="E133" s="103">
        <f>SUM(E119:E132)</f>
        <v>6</v>
      </c>
      <c r="F133" s="103">
        <f>SUM(F119:F132)</f>
        <v>8</v>
      </c>
      <c r="G133" s="103">
        <f>SUM(G119:G132)</f>
        <v>14</v>
      </c>
      <c r="H133" s="143">
        <f>SUM(H119:H132)</f>
        <v>0</v>
      </c>
      <c r="I133" s="143"/>
      <c r="J133" s="143"/>
      <c r="K133" s="103">
        <f>SUM(K119:K132)</f>
        <v>2107</v>
      </c>
      <c r="L133" s="162"/>
      <c r="M133" s="162">
        <v>9108.94</v>
      </c>
    </row>
    <row r="134" spans="1:16" s="87" customFormat="1" ht="15" customHeight="1">
      <c r="A134" s="381" t="s">
        <v>82</v>
      </c>
      <c r="B134" s="381"/>
      <c r="C134" s="48"/>
      <c r="D134" s="48"/>
      <c r="E134" s="48"/>
      <c r="F134" s="48"/>
      <c r="G134" s="48"/>
      <c r="H134" s="48"/>
      <c r="I134" s="48"/>
      <c r="J134" s="48"/>
      <c r="K134" s="48"/>
      <c r="L134" s="48"/>
      <c r="M134" s="48"/>
      <c r="N134" s="131"/>
      <c r="O134" s="132"/>
      <c r="P134" s="133"/>
    </row>
    <row r="135" spans="1:14" ht="38.25" customHeight="1">
      <c r="A135" s="52" t="s">
        <v>5</v>
      </c>
      <c r="B135" s="52" t="s">
        <v>1</v>
      </c>
      <c r="C135" s="52" t="s">
        <v>3</v>
      </c>
      <c r="D135" s="52" t="s">
        <v>120</v>
      </c>
      <c r="E135" s="52" t="s">
        <v>90</v>
      </c>
      <c r="F135" s="52" t="s">
        <v>91</v>
      </c>
      <c r="G135" s="52" t="s">
        <v>140</v>
      </c>
      <c r="H135" s="52" t="s">
        <v>127</v>
      </c>
      <c r="I135" s="52" t="s">
        <v>159</v>
      </c>
      <c r="J135" s="52" t="s">
        <v>119</v>
      </c>
      <c r="K135" s="52" t="s">
        <v>141</v>
      </c>
      <c r="L135" s="52" t="s">
        <v>124</v>
      </c>
      <c r="M135" s="52" t="s">
        <v>185</v>
      </c>
      <c r="N135" s="62"/>
    </row>
    <row r="136" spans="1:13" ht="15" customHeight="1">
      <c r="A136" s="357"/>
      <c r="B136" s="357"/>
      <c r="C136" s="323"/>
      <c r="D136" s="138">
        <v>1</v>
      </c>
      <c r="E136" s="147">
        <v>1</v>
      </c>
      <c r="F136" s="55"/>
      <c r="G136" s="138">
        <v>1</v>
      </c>
      <c r="H136" s="55"/>
      <c r="I136" s="55"/>
      <c r="J136" s="139">
        <v>1932</v>
      </c>
      <c r="K136" s="65">
        <v>90</v>
      </c>
      <c r="L136" s="140">
        <f>1877.28/720*K136</f>
        <v>234.66000000000003</v>
      </c>
      <c r="M136" s="140"/>
    </row>
    <row r="137" spans="1:13" ht="15" customHeight="1">
      <c r="A137" s="357"/>
      <c r="B137" s="357"/>
      <c r="C137" s="323"/>
      <c r="D137" s="138">
        <v>1</v>
      </c>
      <c r="E137" s="147">
        <v>1</v>
      </c>
      <c r="F137" s="55"/>
      <c r="G137" s="138">
        <v>1</v>
      </c>
      <c r="H137" s="55"/>
      <c r="I137" s="55"/>
      <c r="J137" s="139">
        <v>1926</v>
      </c>
      <c r="K137" s="65">
        <v>217</v>
      </c>
      <c r="L137" s="140">
        <f aca="true" t="shared" si="5" ref="L137:L143">1877.28/720*K137</f>
        <v>565.7913333333333</v>
      </c>
      <c r="M137" s="140"/>
    </row>
    <row r="138" spans="1:13" ht="15" customHeight="1">
      <c r="A138" s="357"/>
      <c r="B138" s="357"/>
      <c r="C138" s="323"/>
      <c r="D138" s="138">
        <v>1</v>
      </c>
      <c r="E138" s="55"/>
      <c r="F138" s="147">
        <v>1</v>
      </c>
      <c r="G138" s="138">
        <v>1</v>
      </c>
      <c r="H138" s="55"/>
      <c r="I138" s="55"/>
      <c r="J138" s="139">
        <v>1917</v>
      </c>
      <c r="K138" s="65">
        <v>10</v>
      </c>
      <c r="L138" s="140">
        <f t="shared" si="5"/>
        <v>26.073333333333334</v>
      </c>
      <c r="M138" s="140"/>
    </row>
    <row r="139" spans="1:13" ht="15" customHeight="1">
      <c r="A139" s="357"/>
      <c r="B139" s="357"/>
      <c r="C139" s="323"/>
      <c r="D139" s="138">
        <v>1</v>
      </c>
      <c r="E139" s="55"/>
      <c r="F139" s="147">
        <v>1</v>
      </c>
      <c r="G139" s="138">
        <v>1</v>
      </c>
      <c r="H139" s="55"/>
      <c r="I139" s="55"/>
      <c r="J139" s="139">
        <v>1959</v>
      </c>
      <c r="K139" s="65">
        <v>87</v>
      </c>
      <c r="L139" s="140">
        <f t="shared" si="5"/>
        <v>226.83800000000002</v>
      </c>
      <c r="M139" s="140"/>
    </row>
    <row r="140" spans="1:13" ht="15" customHeight="1">
      <c r="A140" s="357"/>
      <c r="B140" s="357"/>
      <c r="C140" s="323"/>
      <c r="D140" s="138">
        <v>1</v>
      </c>
      <c r="E140" s="147">
        <v>1</v>
      </c>
      <c r="F140" s="55"/>
      <c r="G140" s="138">
        <v>1</v>
      </c>
      <c r="H140" s="55"/>
      <c r="I140" s="55"/>
      <c r="J140" s="139">
        <v>1936</v>
      </c>
      <c r="K140" s="65">
        <v>123</v>
      </c>
      <c r="L140" s="140">
        <f t="shared" si="5"/>
        <v>320.702</v>
      </c>
      <c r="M140" s="140"/>
    </row>
    <row r="141" spans="1:13" ht="15" customHeight="1">
      <c r="A141" s="357"/>
      <c r="B141" s="357"/>
      <c r="C141" s="323"/>
      <c r="D141" s="138">
        <v>1</v>
      </c>
      <c r="E141" s="55"/>
      <c r="F141" s="147">
        <v>1</v>
      </c>
      <c r="G141" s="138">
        <v>1</v>
      </c>
      <c r="H141" s="55"/>
      <c r="I141" s="55"/>
      <c r="J141" s="139">
        <v>1925</v>
      </c>
      <c r="K141" s="65">
        <v>21</v>
      </c>
      <c r="L141" s="140">
        <f t="shared" si="5"/>
        <v>54.754000000000005</v>
      </c>
      <c r="M141" s="140"/>
    </row>
    <row r="142" spans="1:13" ht="15" customHeight="1">
      <c r="A142" s="357"/>
      <c r="B142" s="357"/>
      <c r="C142" s="323"/>
      <c r="D142" s="138">
        <v>1</v>
      </c>
      <c r="E142" s="147">
        <v>1</v>
      </c>
      <c r="F142" s="55"/>
      <c r="G142" s="138">
        <v>1</v>
      </c>
      <c r="H142" s="55"/>
      <c r="I142" s="55"/>
      <c r="J142" s="139">
        <v>1941</v>
      </c>
      <c r="K142" s="65">
        <v>12</v>
      </c>
      <c r="L142" s="140">
        <f t="shared" si="5"/>
        <v>31.288000000000004</v>
      </c>
      <c r="M142" s="140"/>
    </row>
    <row r="143" spans="1:13" ht="15" customHeight="1">
      <c r="A143" s="357"/>
      <c r="B143" s="357"/>
      <c r="C143" s="323"/>
      <c r="D143" s="138">
        <v>1</v>
      </c>
      <c r="E143" s="147">
        <v>1</v>
      </c>
      <c r="F143" s="55"/>
      <c r="G143" s="138">
        <v>1</v>
      </c>
      <c r="H143" s="55"/>
      <c r="I143" s="55"/>
      <c r="J143" s="139">
        <v>1935</v>
      </c>
      <c r="K143" s="65">
        <v>160</v>
      </c>
      <c r="L143" s="140">
        <f t="shared" si="5"/>
        <v>417.17333333333335</v>
      </c>
      <c r="M143" s="140"/>
    </row>
    <row r="144" spans="1:13" s="87" customFormat="1" ht="15" customHeight="1">
      <c r="A144" s="374" t="s">
        <v>146</v>
      </c>
      <c r="B144" s="374"/>
      <c r="C144" s="84"/>
      <c r="D144" s="103">
        <f>SUM(D136:D143)</f>
        <v>8</v>
      </c>
      <c r="E144" s="103">
        <f>SUM(E136:E143)</f>
        <v>5</v>
      </c>
      <c r="F144" s="103">
        <f>SUM(F136:F143)</f>
        <v>3</v>
      </c>
      <c r="G144" s="103">
        <f>SUM(G136:G143)</f>
        <v>8</v>
      </c>
      <c r="H144" s="143">
        <f>SUM(H136:H143)</f>
        <v>0</v>
      </c>
      <c r="I144" s="143"/>
      <c r="J144" s="143"/>
      <c r="K144" s="103">
        <f>SUM(K136:K143)</f>
        <v>720</v>
      </c>
      <c r="L144" s="84"/>
      <c r="M144" s="162">
        <v>1877.28</v>
      </c>
    </row>
    <row r="145" spans="1:16" s="87" customFormat="1" ht="15" customHeight="1">
      <c r="A145" s="381" t="s">
        <v>83</v>
      </c>
      <c r="B145" s="381"/>
      <c r="C145" s="48"/>
      <c r="D145" s="48"/>
      <c r="E145" s="48"/>
      <c r="F145" s="48"/>
      <c r="G145" s="48"/>
      <c r="H145" s="48"/>
      <c r="I145" s="48"/>
      <c r="J145" s="48"/>
      <c r="K145" s="48"/>
      <c r="L145" s="48"/>
      <c r="M145" s="48"/>
      <c r="N145" s="131"/>
      <c r="O145" s="132"/>
      <c r="P145" s="133"/>
    </row>
    <row r="146" spans="1:14" ht="38.25" customHeight="1">
      <c r="A146" s="52" t="s">
        <v>5</v>
      </c>
      <c r="B146" s="52" t="s">
        <v>1</v>
      </c>
      <c r="C146" s="52" t="s">
        <v>3</v>
      </c>
      <c r="D146" s="52" t="s">
        <v>120</v>
      </c>
      <c r="E146" s="52" t="s">
        <v>90</v>
      </c>
      <c r="F146" s="52" t="s">
        <v>91</v>
      </c>
      <c r="G146" s="52" t="s">
        <v>140</v>
      </c>
      <c r="H146" s="52" t="s">
        <v>127</v>
      </c>
      <c r="I146" s="52" t="s">
        <v>159</v>
      </c>
      <c r="J146" s="52" t="s">
        <v>119</v>
      </c>
      <c r="K146" s="52" t="s">
        <v>141</v>
      </c>
      <c r="L146" s="52" t="s">
        <v>124</v>
      </c>
      <c r="M146" s="52" t="s">
        <v>185</v>
      </c>
      <c r="N146" s="62"/>
    </row>
    <row r="147" spans="1:13" ht="15" customHeight="1">
      <c r="A147" s="357"/>
      <c r="B147" s="357"/>
      <c r="C147" s="323"/>
      <c r="D147" s="138">
        <v>1</v>
      </c>
      <c r="E147" s="147">
        <v>1</v>
      </c>
      <c r="F147" s="147"/>
      <c r="G147" s="147">
        <v>1</v>
      </c>
      <c r="H147" s="55"/>
      <c r="I147" s="55"/>
      <c r="J147" s="139">
        <v>1927</v>
      </c>
      <c r="K147" s="65">
        <v>7</v>
      </c>
      <c r="L147" s="140">
        <f>21743.9/3941*K147</f>
        <v>38.6214920071048</v>
      </c>
      <c r="M147" s="140"/>
    </row>
    <row r="148" spans="1:13" ht="15" customHeight="1">
      <c r="A148" s="357"/>
      <c r="B148" s="357"/>
      <c r="C148" s="323"/>
      <c r="D148" s="138">
        <v>1</v>
      </c>
      <c r="E148" s="147"/>
      <c r="F148" s="147">
        <v>1</v>
      </c>
      <c r="G148" s="147">
        <v>1</v>
      </c>
      <c r="H148" s="55"/>
      <c r="I148" s="55"/>
      <c r="J148" s="139">
        <v>1949</v>
      </c>
      <c r="K148" s="65">
        <v>23</v>
      </c>
      <c r="L148" s="140">
        <f aca="true" t="shared" si="6" ref="L148:L169">21743.9/3941*K148</f>
        <v>126.89918802334435</v>
      </c>
      <c r="M148" s="140"/>
    </row>
    <row r="149" spans="1:13" ht="15" customHeight="1">
      <c r="A149" s="357"/>
      <c r="B149" s="357"/>
      <c r="C149" s="323"/>
      <c r="D149" s="138">
        <v>1</v>
      </c>
      <c r="E149" s="147">
        <v>1</v>
      </c>
      <c r="F149" s="147"/>
      <c r="G149" s="147">
        <v>1</v>
      </c>
      <c r="H149" s="55"/>
      <c r="I149" s="55"/>
      <c r="J149" s="139">
        <v>1947</v>
      </c>
      <c r="K149" s="65">
        <v>308</v>
      </c>
      <c r="L149" s="140">
        <f t="shared" si="6"/>
        <v>1699.3456483126113</v>
      </c>
      <c r="M149" s="140"/>
    </row>
    <row r="150" spans="1:13" ht="15" customHeight="1">
      <c r="A150" s="357"/>
      <c r="B150" s="357"/>
      <c r="C150" s="323"/>
      <c r="D150" s="138">
        <v>1</v>
      </c>
      <c r="E150" s="147"/>
      <c r="F150" s="147">
        <v>1</v>
      </c>
      <c r="G150" s="147">
        <v>1</v>
      </c>
      <c r="H150" s="55"/>
      <c r="I150" s="55"/>
      <c r="J150" s="139">
        <v>1929</v>
      </c>
      <c r="K150" s="65">
        <v>297</v>
      </c>
      <c r="L150" s="140">
        <f t="shared" si="6"/>
        <v>1638.6547323014465</v>
      </c>
      <c r="M150" s="140"/>
    </row>
    <row r="151" spans="1:13" ht="15" customHeight="1">
      <c r="A151" s="357"/>
      <c r="B151" s="357"/>
      <c r="C151" s="323"/>
      <c r="D151" s="138">
        <v>1</v>
      </c>
      <c r="E151" s="147">
        <v>1</v>
      </c>
      <c r="F151" s="147"/>
      <c r="G151" s="147">
        <v>1</v>
      </c>
      <c r="H151" s="55"/>
      <c r="I151" s="55"/>
      <c r="J151" s="139">
        <v>1924</v>
      </c>
      <c r="K151" s="65">
        <v>171</v>
      </c>
      <c r="L151" s="140">
        <f t="shared" si="6"/>
        <v>943.4678761735602</v>
      </c>
      <c r="M151" s="140"/>
    </row>
    <row r="152" spans="1:13" ht="15" customHeight="1">
      <c r="A152" s="357"/>
      <c r="B152" s="357"/>
      <c r="C152" s="323"/>
      <c r="D152" s="138">
        <v>1</v>
      </c>
      <c r="E152" s="147"/>
      <c r="F152" s="147">
        <v>1</v>
      </c>
      <c r="G152" s="147">
        <v>1</v>
      </c>
      <c r="H152" s="55"/>
      <c r="I152" s="55"/>
      <c r="J152" s="139">
        <v>1926</v>
      </c>
      <c r="K152" s="65">
        <v>294</v>
      </c>
      <c r="L152" s="140">
        <f t="shared" si="6"/>
        <v>1622.1026642984016</v>
      </c>
      <c r="M152" s="140"/>
    </row>
    <row r="153" spans="1:13" ht="15" customHeight="1">
      <c r="A153" s="357"/>
      <c r="B153" s="357"/>
      <c r="C153" s="323"/>
      <c r="D153" s="138">
        <v>1</v>
      </c>
      <c r="E153" s="147">
        <v>1</v>
      </c>
      <c r="F153" s="147"/>
      <c r="G153" s="147">
        <v>1</v>
      </c>
      <c r="H153" s="55"/>
      <c r="I153" s="55"/>
      <c r="J153" s="139">
        <v>1941</v>
      </c>
      <c r="K153" s="65">
        <v>308</v>
      </c>
      <c r="L153" s="140">
        <f t="shared" si="6"/>
        <v>1699.3456483126113</v>
      </c>
      <c r="M153" s="140"/>
    </row>
    <row r="154" spans="1:13" ht="15" customHeight="1">
      <c r="A154" s="357"/>
      <c r="B154" s="357"/>
      <c r="C154" s="323"/>
      <c r="D154" s="138">
        <v>1</v>
      </c>
      <c r="E154" s="147"/>
      <c r="F154" s="147">
        <v>1</v>
      </c>
      <c r="G154" s="147">
        <v>1</v>
      </c>
      <c r="H154" s="55"/>
      <c r="I154" s="55"/>
      <c r="J154" s="139">
        <v>1967</v>
      </c>
      <c r="K154" s="65">
        <v>305</v>
      </c>
      <c r="L154" s="140">
        <f t="shared" si="6"/>
        <v>1682.7935803095663</v>
      </c>
      <c r="M154" s="140"/>
    </row>
    <row r="155" spans="1:13" ht="15" customHeight="1">
      <c r="A155" s="357"/>
      <c r="B155" s="357"/>
      <c r="C155" s="323"/>
      <c r="D155" s="138">
        <v>1</v>
      </c>
      <c r="E155" s="147"/>
      <c r="F155" s="147">
        <v>1</v>
      </c>
      <c r="G155" s="147">
        <v>1</v>
      </c>
      <c r="H155" s="55"/>
      <c r="I155" s="55"/>
      <c r="J155" s="139">
        <v>1937</v>
      </c>
      <c r="K155" s="65">
        <v>34</v>
      </c>
      <c r="L155" s="140">
        <f t="shared" si="6"/>
        <v>187.59010403450904</v>
      </c>
      <c r="M155" s="140"/>
    </row>
    <row r="156" spans="1:13" ht="15" customHeight="1">
      <c r="A156" s="357"/>
      <c r="B156" s="357"/>
      <c r="C156" s="323"/>
      <c r="D156" s="138">
        <v>1</v>
      </c>
      <c r="E156" s="147">
        <v>1</v>
      </c>
      <c r="F156" s="147"/>
      <c r="G156" s="147">
        <v>1</v>
      </c>
      <c r="H156" s="55"/>
      <c r="I156" s="55"/>
      <c r="J156" s="139">
        <v>1959</v>
      </c>
      <c r="K156" s="65">
        <v>305</v>
      </c>
      <c r="L156" s="140">
        <f t="shared" si="6"/>
        <v>1682.7935803095663</v>
      </c>
      <c r="M156" s="140"/>
    </row>
    <row r="157" spans="1:13" ht="15" customHeight="1">
      <c r="A157" s="357"/>
      <c r="B157" s="357"/>
      <c r="C157" s="323"/>
      <c r="D157" s="138">
        <v>1</v>
      </c>
      <c r="E157" s="147">
        <v>1</v>
      </c>
      <c r="F157" s="147"/>
      <c r="G157" s="147">
        <v>1</v>
      </c>
      <c r="H157" s="55"/>
      <c r="I157" s="55"/>
      <c r="J157" s="139">
        <v>1940</v>
      </c>
      <c r="K157" s="65">
        <v>8</v>
      </c>
      <c r="L157" s="140">
        <f t="shared" si="6"/>
        <v>44.13884800811977</v>
      </c>
      <c r="M157" s="140"/>
    </row>
    <row r="158" spans="1:13" ht="15" customHeight="1">
      <c r="A158" s="357"/>
      <c r="B158" s="357"/>
      <c r="C158" s="323"/>
      <c r="D158" s="138">
        <v>1</v>
      </c>
      <c r="E158" s="147">
        <v>1</v>
      </c>
      <c r="F158" s="147"/>
      <c r="G158" s="147">
        <v>1</v>
      </c>
      <c r="H158" s="55"/>
      <c r="I158" s="55"/>
      <c r="J158" s="139">
        <v>1959</v>
      </c>
      <c r="K158" s="65">
        <v>57</v>
      </c>
      <c r="L158" s="140">
        <f t="shared" si="6"/>
        <v>314.4892920578534</v>
      </c>
      <c r="M158" s="140"/>
    </row>
    <row r="159" spans="1:13" ht="15" customHeight="1">
      <c r="A159" s="357"/>
      <c r="B159" s="357"/>
      <c r="C159" s="323"/>
      <c r="D159" s="138">
        <v>1</v>
      </c>
      <c r="E159" s="147"/>
      <c r="F159" s="147">
        <v>1</v>
      </c>
      <c r="G159" s="147">
        <v>1</v>
      </c>
      <c r="H159" s="55"/>
      <c r="I159" s="55"/>
      <c r="J159" s="139">
        <v>1941</v>
      </c>
      <c r="K159" s="65">
        <v>332</v>
      </c>
      <c r="L159" s="140">
        <f t="shared" si="6"/>
        <v>1831.7621923369707</v>
      </c>
      <c r="M159" s="140"/>
    </row>
    <row r="160" spans="1:13" ht="15" customHeight="1">
      <c r="A160" s="357"/>
      <c r="B160" s="357"/>
      <c r="C160" s="323"/>
      <c r="D160" s="138">
        <v>1</v>
      </c>
      <c r="E160" s="147">
        <v>1</v>
      </c>
      <c r="F160" s="147"/>
      <c r="G160" s="147">
        <v>1</v>
      </c>
      <c r="H160" s="55"/>
      <c r="I160" s="55"/>
      <c r="J160" s="139">
        <v>1954</v>
      </c>
      <c r="K160" s="65">
        <v>44</v>
      </c>
      <c r="L160" s="140">
        <f t="shared" si="6"/>
        <v>242.76366404465875</v>
      </c>
      <c r="M160" s="140"/>
    </row>
    <row r="161" spans="1:13" ht="15" customHeight="1">
      <c r="A161" s="357"/>
      <c r="B161" s="357"/>
      <c r="C161" s="323"/>
      <c r="D161" s="138">
        <v>1</v>
      </c>
      <c r="E161" s="147"/>
      <c r="F161" s="147">
        <v>1</v>
      </c>
      <c r="G161" s="147">
        <v>1</v>
      </c>
      <c r="H161" s="55"/>
      <c r="I161" s="55"/>
      <c r="J161" s="139">
        <v>1924</v>
      </c>
      <c r="K161" s="65">
        <v>4</v>
      </c>
      <c r="L161" s="140">
        <f t="shared" si="6"/>
        <v>22.069424004059886</v>
      </c>
      <c r="M161" s="140"/>
    </row>
    <row r="162" spans="1:13" ht="15" customHeight="1">
      <c r="A162" s="357"/>
      <c r="B162" s="357"/>
      <c r="C162" s="323"/>
      <c r="D162" s="138">
        <v>1</v>
      </c>
      <c r="E162" s="147"/>
      <c r="F162" s="147">
        <v>1</v>
      </c>
      <c r="G162" s="147">
        <v>1</v>
      </c>
      <c r="H162" s="55"/>
      <c r="I162" s="55"/>
      <c r="J162" s="139">
        <v>1951</v>
      </c>
      <c r="K162" s="65">
        <v>309</v>
      </c>
      <c r="L162" s="140">
        <f t="shared" si="6"/>
        <v>1704.8630043136263</v>
      </c>
      <c r="M162" s="140"/>
    </row>
    <row r="163" spans="1:13" ht="15" customHeight="1">
      <c r="A163" s="357"/>
      <c r="B163" s="357"/>
      <c r="C163" s="323"/>
      <c r="D163" s="138">
        <v>1</v>
      </c>
      <c r="E163" s="147">
        <v>1</v>
      </c>
      <c r="F163" s="147"/>
      <c r="G163" s="147">
        <v>1</v>
      </c>
      <c r="H163" s="55"/>
      <c r="I163" s="55"/>
      <c r="J163" s="139">
        <v>1963</v>
      </c>
      <c r="K163" s="65">
        <v>328</v>
      </c>
      <c r="L163" s="140">
        <f t="shared" si="6"/>
        <v>1809.6927683329106</v>
      </c>
      <c r="M163" s="140"/>
    </row>
    <row r="164" spans="1:13" ht="15" customHeight="1">
      <c r="A164" s="357"/>
      <c r="B164" s="357"/>
      <c r="C164" s="323"/>
      <c r="D164" s="138">
        <v>1</v>
      </c>
      <c r="E164" s="147"/>
      <c r="F164" s="147">
        <v>1</v>
      </c>
      <c r="G164" s="147">
        <v>1</v>
      </c>
      <c r="H164" s="55"/>
      <c r="I164" s="55"/>
      <c r="J164" s="139">
        <v>1935</v>
      </c>
      <c r="K164" s="65">
        <v>8</v>
      </c>
      <c r="L164" s="140">
        <f t="shared" si="6"/>
        <v>44.13884800811977</v>
      </c>
      <c r="M164" s="140"/>
    </row>
    <row r="165" spans="1:13" ht="15" customHeight="1">
      <c r="A165" s="357"/>
      <c r="B165" s="357"/>
      <c r="C165" s="323"/>
      <c r="D165" s="138">
        <v>1</v>
      </c>
      <c r="E165" s="147">
        <v>1</v>
      </c>
      <c r="F165" s="147"/>
      <c r="G165" s="147">
        <v>1</v>
      </c>
      <c r="H165" s="55"/>
      <c r="I165" s="55"/>
      <c r="J165" s="139">
        <v>1941</v>
      </c>
      <c r="K165" s="65">
        <v>363</v>
      </c>
      <c r="L165" s="140">
        <f t="shared" si="6"/>
        <v>2002.8002283684348</v>
      </c>
      <c r="M165" s="140"/>
    </row>
    <row r="166" spans="1:13" ht="15" customHeight="1">
      <c r="A166" s="357"/>
      <c r="B166" s="357"/>
      <c r="C166" s="323"/>
      <c r="D166" s="138">
        <v>1</v>
      </c>
      <c r="E166" s="96">
        <v>1</v>
      </c>
      <c r="F166" s="147"/>
      <c r="G166" s="55"/>
      <c r="H166" s="147">
        <v>1</v>
      </c>
      <c r="I166" s="96" t="s">
        <v>33</v>
      </c>
      <c r="J166" s="139">
        <v>1965</v>
      </c>
      <c r="K166" s="65">
        <v>2</v>
      </c>
      <c r="L166" s="140">
        <f t="shared" si="6"/>
        <v>11.034712002029943</v>
      </c>
      <c r="M166" s="140"/>
    </row>
    <row r="167" spans="1:13" ht="15" customHeight="1">
      <c r="A167" s="357"/>
      <c r="B167" s="357"/>
      <c r="C167" s="323"/>
      <c r="D167" s="138">
        <v>1</v>
      </c>
      <c r="E167" s="147">
        <v>1</v>
      </c>
      <c r="F167" s="147"/>
      <c r="G167" s="147">
        <v>1</v>
      </c>
      <c r="H167" s="55"/>
      <c r="I167" s="55"/>
      <c r="J167" s="139">
        <v>1942</v>
      </c>
      <c r="K167" s="65">
        <v>90</v>
      </c>
      <c r="L167" s="140">
        <f t="shared" si="6"/>
        <v>496.56204009134746</v>
      </c>
      <c r="M167" s="140"/>
    </row>
    <row r="168" spans="1:13" ht="15" customHeight="1">
      <c r="A168" s="357"/>
      <c r="B168" s="357"/>
      <c r="C168" s="323"/>
      <c r="D168" s="138">
        <v>1</v>
      </c>
      <c r="E168" s="147"/>
      <c r="F168" s="147">
        <v>1</v>
      </c>
      <c r="G168" s="147">
        <v>1</v>
      </c>
      <c r="H168" s="55"/>
      <c r="I168" s="55"/>
      <c r="J168" s="139">
        <v>1971</v>
      </c>
      <c r="K168" s="65">
        <v>294</v>
      </c>
      <c r="L168" s="140">
        <f t="shared" si="6"/>
        <v>1622.1026642984016</v>
      </c>
      <c r="M168" s="140"/>
    </row>
    <row r="169" spans="1:13" ht="15" customHeight="1">
      <c r="A169" s="357"/>
      <c r="B169" s="357"/>
      <c r="C169" s="323"/>
      <c r="D169" s="138">
        <v>1</v>
      </c>
      <c r="E169" s="147">
        <v>1</v>
      </c>
      <c r="F169" s="147"/>
      <c r="G169" s="147">
        <v>1</v>
      </c>
      <c r="H169" s="55"/>
      <c r="I169" s="55"/>
      <c r="J169" s="139">
        <v>1927</v>
      </c>
      <c r="K169" s="65">
        <v>50</v>
      </c>
      <c r="L169" s="140">
        <f t="shared" si="6"/>
        <v>275.8678000507486</v>
      </c>
      <c r="M169" s="140"/>
    </row>
    <row r="170" spans="1:13" s="87" customFormat="1" ht="15" customHeight="1">
      <c r="A170" s="374" t="s">
        <v>98</v>
      </c>
      <c r="B170" s="374"/>
      <c r="C170" s="84"/>
      <c r="D170" s="103">
        <f>SUM(D147:D169)</f>
        <v>23</v>
      </c>
      <c r="E170" s="103">
        <f>SUM(E147:E169)</f>
        <v>13</v>
      </c>
      <c r="F170" s="103">
        <f>SUM(F147:F169)</f>
        <v>10</v>
      </c>
      <c r="G170" s="103">
        <f>SUM(G147:G169)</f>
        <v>22</v>
      </c>
      <c r="H170" s="143">
        <f>SUM(H147:H169)</f>
        <v>1</v>
      </c>
      <c r="I170" s="143"/>
      <c r="J170" s="143"/>
      <c r="K170" s="103">
        <f>SUM(K147:K169)</f>
        <v>3941</v>
      </c>
      <c r="L170" s="84"/>
      <c r="M170" s="162">
        <v>21743.9</v>
      </c>
    </row>
    <row r="171" spans="1:16" s="87" customFormat="1" ht="15" customHeight="1">
      <c r="A171" s="381" t="s">
        <v>84</v>
      </c>
      <c r="B171" s="381"/>
      <c r="C171" s="48"/>
      <c r="D171" s="48"/>
      <c r="E171" s="48"/>
      <c r="F171" s="48"/>
      <c r="G171" s="48"/>
      <c r="H171" s="48"/>
      <c r="I171" s="48"/>
      <c r="J171" s="48"/>
      <c r="K171" s="48"/>
      <c r="L171" s="48"/>
      <c r="M171" s="48"/>
      <c r="N171" s="131"/>
      <c r="O171" s="132"/>
      <c r="P171" s="133"/>
    </row>
    <row r="172" spans="1:14" ht="38.25" customHeight="1">
      <c r="A172" s="52" t="s">
        <v>5</v>
      </c>
      <c r="B172" s="52" t="s">
        <v>1</v>
      </c>
      <c r="C172" s="52" t="s">
        <v>3</v>
      </c>
      <c r="D172" s="52" t="s">
        <v>120</v>
      </c>
      <c r="E172" s="52" t="s">
        <v>90</v>
      </c>
      <c r="F172" s="52" t="s">
        <v>91</v>
      </c>
      <c r="G172" s="52" t="s">
        <v>140</v>
      </c>
      <c r="H172" s="52" t="s">
        <v>127</v>
      </c>
      <c r="I172" s="52" t="s">
        <v>159</v>
      </c>
      <c r="J172" s="52" t="s">
        <v>119</v>
      </c>
      <c r="K172" s="52" t="s">
        <v>141</v>
      </c>
      <c r="L172" s="52" t="s">
        <v>124</v>
      </c>
      <c r="M172" s="52" t="s">
        <v>185</v>
      </c>
      <c r="N172" s="62"/>
    </row>
    <row r="173" spans="1:13" ht="15" customHeight="1">
      <c r="A173" s="357"/>
      <c r="B173" s="357"/>
      <c r="C173" s="323"/>
      <c r="D173" s="138">
        <v>1</v>
      </c>
      <c r="E173" s="147">
        <v>1</v>
      </c>
      <c r="F173" s="147"/>
      <c r="G173" s="147">
        <v>1</v>
      </c>
      <c r="H173" s="55"/>
      <c r="I173" s="55"/>
      <c r="J173" s="139">
        <v>1936</v>
      </c>
      <c r="K173" s="147">
        <f>3+22+16+23+21+14</f>
        <v>99</v>
      </c>
      <c r="L173" s="140">
        <f>2204/631*K173</f>
        <v>345.79397781299525</v>
      </c>
      <c r="M173" s="163"/>
    </row>
    <row r="174" spans="1:13" ht="15" customHeight="1">
      <c r="A174" s="357"/>
      <c r="B174" s="357"/>
      <c r="C174" s="323"/>
      <c r="D174" s="138">
        <v>1</v>
      </c>
      <c r="E174" s="147">
        <v>1</v>
      </c>
      <c r="F174" s="147"/>
      <c r="G174" s="147">
        <v>1</v>
      </c>
      <c r="H174" s="55"/>
      <c r="I174" s="55"/>
      <c r="J174" s="139">
        <v>1946</v>
      </c>
      <c r="K174" s="147">
        <f>21+22+16+23+21+15+21+5+16</f>
        <v>160</v>
      </c>
      <c r="L174" s="140">
        <f aca="true" t="shared" si="7" ref="L174:L180">2204/631*K174</f>
        <v>558.8589540412045</v>
      </c>
      <c r="M174" s="163"/>
    </row>
    <row r="175" spans="1:13" ht="15" customHeight="1">
      <c r="A175" s="357"/>
      <c r="B175" s="357"/>
      <c r="C175" s="323"/>
      <c r="D175" s="138">
        <v>1</v>
      </c>
      <c r="E175" s="147">
        <v>1</v>
      </c>
      <c r="F175" s="147"/>
      <c r="G175" s="147">
        <v>1</v>
      </c>
      <c r="H175" s="55"/>
      <c r="I175" s="55"/>
      <c r="J175" s="139">
        <v>1935</v>
      </c>
      <c r="K175" s="147">
        <v>0</v>
      </c>
      <c r="L175" s="140">
        <f t="shared" si="7"/>
        <v>0</v>
      </c>
      <c r="M175" s="163"/>
    </row>
    <row r="176" spans="1:13" ht="15" customHeight="1">
      <c r="A176" s="357"/>
      <c r="B176" s="357"/>
      <c r="C176" s="323"/>
      <c r="D176" s="138">
        <v>1</v>
      </c>
      <c r="E176" s="147">
        <v>1</v>
      </c>
      <c r="F176" s="147"/>
      <c r="G176" s="147">
        <v>1</v>
      </c>
      <c r="H176" s="55"/>
      <c r="I176" s="55"/>
      <c r="J176" s="139">
        <v>1961</v>
      </c>
      <c r="K176" s="147">
        <f>17+19+13+18+17+15+19+15+13+17+15</f>
        <v>178</v>
      </c>
      <c r="L176" s="140">
        <f t="shared" si="7"/>
        <v>621.73058637084</v>
      </c>
      <c r="M176" s="163"/>
    </row>
    <row r="177" spans="1:13" ht="15" customHeight="1">
      <c r="A177" s="357"/>
      <c r="B177" s="357"/>
      <c r="C177" s="323"/>
      <c r="D177" s="138">
        <v>1</v>
      </c>
      <c r="E177" s="147">
        <v>1</v>
      </c>
      <c r="F177" s="147"/>
      <c r="G177" s="147">
        <v>1</v>
      </c>
      <c r="H177" s="55"/>
      <c r="I177" s="55"/>
      <c r="J177" s="139">
        <v>1929</v>
      </c>
      <c r="K177" s="147">
        <v>0</v>
      </c>
      <c r="L177" s="140">
        <f t="shared" si="7"/>
        <v>0</v>
      </c>
      <c r="M177" s="163"/>
    </row>
    <row r="178" spans="1:13" ht="15" customHeight="1">
      <c r="A178" s="357"/>
      <c r="B178" s="357"/>
      <c r="C178" s="323"/>
      <c r="D178" s="138">
        <v>1</v>
      </c>
      <c r="E178" s="147"/>
      <c r="F178" s="147">
        <v>1</v>
      </c>
      <c r="G178" s="147">
        <v>1</v>
      </c>
      <c r="H178" s="55"/>
      <c r="I178" s="55"/>
      <c r="J178" s="139">
        <v>1921</v>
      </c>
      <c r="K178" s="147">
        <f>17+15+22+16+21+21+22+16+23+21</f>
        <v>194</v>
      </c>
      <c r="L178" s="140">
        <f t="shared" si="7"/>
        <v>677.6164817749604</v>
      </c>
      <c r="M178" s="163"/>
    </row>
    <row r="179" spans="1:13" ht="15" customHeight="1">
      <c r="A179" s="357"/>
      <c r="B179" s="357"/>
      <c r="C179" s="323"/>
      <c r="D179" s="138">
        <v>1</v>
      </c>
      <c r="E179" s="147">
        <v>1</v>
      </c>
      <c r="F179" s="147"/>
      <c r="G179" s="147">
        <v>1</v>
      </c>
      <c r="H179" s="55"/>
      <c r="I179" s="55"/>
      <c r="J179" s="139">
        <v>1927</v>
      </c>
      <c r="K179" s="147">
        <v>0</v>
      </c>
      <c r="L179" s="140">
        <f t="shared" si="7"/>
        <v>0</v>
      </c>
      <c r="M179" s="163"/>
    </row>
    <row r="180" spans="1:13" ht="15" customHeight="1">
      <c r="A180" s="357"/>
      <c r="B180" s="357"/>
      <c r="C180" s="323"/>
      <c r="D180" s="138">
        <v>1</v>
      </c>
      <c r="E180" s="147"/>
      <c r="F180" s="147">
        <v>1</v>
      </c>
      <c r="G180" s="147">
        <v>1</v>
      </c>
      <c r="H180" s="55"/>
      <c r="I180" s="55"/>
      <c r="J180" s="139">
        <v>1922</v>
      </c>
      <c r="K180" s="147">
        <v>0</v>
      </c>
      <c r="L180" s="140">
        <f t="shared" si="7"/>
        <v>0</v>
      </c>
      <c r="M180" s="163"/>
    </row>
    <row r="181" spans="1:13" s="87" customFormat="1" ht="15" customHeight="1">
      <c r="A181" s="374" t="s">
        <v>99</v>
      </c>
      <c r="B181" s="374"/>
      <c r="C181" s="84"/>
      <c r="D181" s="103">
        <f>SUM(D173:D180)</f>
        <v>8</v>
      </c>
      <c r="E181" s="103">
        <f>SUM(E173:E180)</f>
        <v>6</v>
      </c>
      <c r="F181" s="103">
        <f>SUM(F173:F180)</f>
        <v>2</v>
      </c>
      <c r="G181" s="103">
        <f>SUM(G173:G180)</f>
        <v>8</v>
      </c>
      <c r="H181" s="143">
        <f>SUM(H173:H180)</f>
        <v>0</v>
      </c>
      <c r="I181" s="143"/>
      <c r="J181" s="143"/>
      <c r="K181" s="103">
        <f>SUM(K173:K180)</f>
        <v>631</v>
      </c>
      <c r="L181" s="84"/>
      <c r="M181" s="162">
        <v>2204</v>
      </c>
    </row>
    <row r="182" spans="1:16" s="87" customFormat="1" ht="15" customHeight="1">
      <c r="A182" s="381" t="s">
        <v>85</v>
      </c>
      <c r="B182" s="381"/>
      <c r="C182" s="48"/>
      <c r="D182" s="48"/>
      <c r="E182" s="48"/>
      <c r="F182" s="48"/>
      <c r="G182" s="48"/>
      <c r="H182" s="48"/>
      <c r="I182" s="48"/>
      <c r="J182" s="48"/>
      <c r="K182" s="48"/>
      <c r="L182" s="48"/>
      <c r="M182" s="48"/>
      <c r="N182" s="131"/>
      <c r="O182" s="132"/>
      <c r="P182" s="133"/>
    </row>
    <row r="183" spans="1:14" ht="38.25" customHeight="1">
      <c r="A183" s="52" t="s">
        <v>5</v>
      </c>
      <c r="B183" s="52" t="s">
        <v>1</v>
      </c>
      <c r="C183" s="52" t="s">
        <v>3</v>
      </c>
      <c r="D183" s="52" t="s">
        <v>120</v>
      </c>
      <c r="E183" s="52" t="s">
        <v>90</v>
      </c>
      <c r="F183" s="52" t="s">
        <v>91</v>
      </c>
      <c r="G183" s="52" t="s">
        <v>140</v>
      </c>
      <c r="H183" s="52" t="s">
        <v>127</v>
      </c>
      <c r="I183" s="52" t="s">
        <v>159</v>
      </c>
      <c r="J183" s="52" t="s">
        <v>119</v>
      </c>
      <c r="K183" s="52" t="s">
        <v>141</v>
      </c>
      <c r="L183" s="52" t="s">
        <v>124</v>
      </c>
      <c r="M183" s="52" t="s">
        <v>185</v>
      </c>
      <c r="N183" s="62"/>
    </row>
    <row r="184" spans="1:13" ht="15" customHeight="1">
      <c r="A184" s="366"/>
      <c r="B184" s="357"/>
      <c r="C184" s="323"/>
      <c r="D184" s="138">
        <v>1</v>
      </c>
      <c r="E184" s="147">
        <v>1</v>
      </c>
      <c r="F184" s="147"/>
      <c r="G184" s="147">
        <v>1</v>
      </c>
      <c r="H184" s="55"/>
      <c r="I184" s="55"/>
      <c r="J184" s="139">
        <v>1961</v>
      </c>
      <c r="K184" s="164">
        <v>296</v>
      </c>
      <c r="L184" s="140">
        <f>25647/5000*K184</f>
        <v>1518.3024</v>
      </c>
      <c r="M184" s="140"/>
    </row>
    <row r="185" spans="1:13" ht="15" customHeight="1">
      <c r="A185" s="366"/>
      <c r="B185" s="357"/>
      <c r="C185" s="323"/>
      <c r="D185" s="138">
        <v>1</v>
      </c>
      <c r="E185" s="147"/>
      <c r="F185" s="147">
        <v>1</v>
      </c>
      <c r="G185" s="147">
        <v>1</v>
      </c>
      <c r="H185" s="55"/>
      <c r="I185" s="55"/>
      <c r="J185" s="139">
        <v>1925</v>
      </c>
      <c r="K185" s="164">
        <v>253</v>
      </c>
      <c r="L185" s="140">
        <f aca="true" t="shared" si="8" ref="L185:L207">25647/5000*K185</f>
        <v>1297.7382</v>
      </c>
      <c r="M185" s="140"/>
    </row>
    <row r="186" spans="1:13" ht="15" customHeight="1">
      <c r="A186" s="366"/>
      <c r="B186" s="357"/>
      <c r="C186" s="323"/>
      <c r="D186" s="138">
        <v>1</v>
      </c>
      <c r="E186" s="147">
        <v>1</v>
      </c>
      <c r="F186" s="147"/>
      <c r="G186" s="147">
        <v>1</v>
      </c>
      <c r="H186" s="55"/>
      <c r="I186" s="55"/>
      <c r="J186" s="139">
        <v>1934</v>
      </c>
      <c r="K186" s="164">
        <v>225</v>
      </c>
      <c r="L186" s="140">
        <f t="shared" si="8"/>
        <v>1154.115</v>
      </c>
      <c r="M186" s="140"/>
    </row>
    <row r="187" spans="1:13" ht="15" customHeight="1">
      <c r="A187" s="366"/>
      <c r="B187" s="357"/>
      <c r="C187" s="323"/>
      <c r="D187" s="138">
        <v>1</v>
      </c>
      <c r="E187" s="147"/>
      <c r="F187" s="147">
        <v>1</v>
      </c>
      <c r="G187" s="147">
        <v>1</v>
      </c>
      <c r="H187" s="55"/>
      <c r="I187" s="55"/>
      <c r="J187" s="139">
        <v>1941</v>
      </c>
      <c r="K187" s="164">
        <v>12</v>
      </c>
      <c r="L187" s="140">
        <f t="shared" si="8"/>
        <v>61.552800000000005</v>
      </c>
      <c r="M187" s="140"/>
    </row>
    <row r="188" spans="1:13" ht="15" customHeight="1">
      <c r="A188" s="366"/>
      <c r="B188" s="357"/>
      <c r="C188" s="323"/>
      <c r="D188" s="138">
        <v>1</v>
      </c>
      <c r="E188" s="147">
        <v>1</v>
      </c>
      <c r="F188" s="147"/>
      <c r="G188" s="147">
        <v>1</v>
      </c>
      <c r="H188" s="55"/>
      <c r="I188" s="55"/>
      <c r="J188" s="139">
        <v>1941</v>
      </c>
      <c r="K188" s="164">
        <v>45</v>
      </c>
      <c r="L188" s="140">
        <f t="shared" si="8"/>
        <v>230.823</v>
      </c>
      <c r="M188" s="140"/>
    </row>
    <row r="189" spans="1:13" ht="15" customHeight="1">
      <c r="A189" s="366"/>
      <c r="B189" s="357"/>
      <c r="C189" s="323"/>
      <c r="D189" s="138">
        <v>1</v>
      </c>
      <c r="E189" s="147">
        <v>1</v>
      </c>
      <c r="F189" s="147"/>
      <c r="G189" s="147">
        <v>1</v>
      </c>
      <c r="H189" s="55"/>
      <c r="I189" s="55"/>
      <c r="J189" s="139">
        <v>1944</v>
      </c>
      <c r="K189" s="164">
        <v>494</v>
      </c>
      <c r="L189" s="140">
        <f t="shared" si="8"/>
        <v>2533.9236</v>
      </c>
      <c r="M189" s="140"/>
    </row>
    <row r="190" spans="1:13" ht="15" customHeight="1">
      <c r="A190" s="366"/>
      <c r="B190" s="357"/>
      <c r="C190" s="323"/>
      <c r="D190" s="138">
        <v>1</v>
      </c>
      <c r="E190" s="147"/>
      <c r="F190" s="147">
        <v>1</v>
      </c>
      <c r="G190" s="147">
        <v>1</v>
      </c>
      <c r="H190" s="55"/>
      <c r="I190" s="55"/>
      <c r="J190" s="139">
        <v>1921</v>
      </c>
      <c r="K190" s="164">
        <v>17</v>
      </c>
      <c r="L190" s="140">
        <f t="shared" si="8"/>
        <v>87.19980000000001</v>
      </c>
      <c r="M190" s="140"/>
    </row>
    <row r="191" spans="1:13" ht="15" customHeight="1">
      <c r="A191" s="366"/>
      <c r="B191" s="357"/>
      <c r="C191" s="323"/>
      <c r="D191" s="138">
        <v>1</v>
      </c>
      <c r="E191" s="147">
        <v>1</v>
      </c>
      <c r="F191" s="147"/>
      <c r="G191" s="147">
        <v>1</v>
      </c>
      <c r="H191" s="55"/>
      <c r="I191" s="55"/>
      <c r="J191" s="139">
        <v>1932</v>
      </c>
      <c r="K191" s="164">
        <v>299</v>
      </c>
      <c r="L191" s="140">
        <f t="shared" si="8"/>
        <v>1533.6906000000001</v>
      </c>
      <c r="M191" s="140"/>
    </row>
    <row r="192" spans="1:13" ht="15" customHeight="1">
      <c r="A192" s="366"/>
      <c r="B192" s="357"/>
      <c r="C192" s="323"/>
      <c r="D192" s="138">
        <v>1</v>
      </c>
      <c r="E192" s="147">
        <v>1</v>
      </c>
      <c r="F192" s="147"/>
      <c r="G192" s="147">
        <v>1</v>
      </c>
      <c r="H192" s="55"/>
      <c r="I192" s="55"/>
      <c r="J192" s="139">
        <v>1923</v>
      </c>
      <c r="K192" s="164">
        <v>10</v>
      </c>
      <c r="L192" s="140">
        <f t="shared" si="8"/>
        <v>51.294000000000004</v>
      </c>
      <c r="M192" s="140"/>
    </row>
    <row r="193" spans="1:13" ht="15" customHeight="1">
      <c r="A193" s="366"/>
      <c r="B193" s="357"/>
      <c r="C193" s="323"/>
      <c r="D193" s="138">
        <v>1</v>
      </c>
      <c r="E193" s="147"/>
      <c r="F193" s="147">
        <v>1</v>
      </c>
      <c r="G193" s="147">
        <v>1</v>
      </c>
      <c r="H193" s="55"/>
      <c r="I193" s="55"/>
      <c r="J193" s="139">
        <v>1926</v>
      </c>
      <c r="K193" s="164">
        <v>305</v>
      </c>
      <c r="L193" s="140">
        <f t="shared" si="8"/>
        <v>1564.467</v>
      </c>
      <c r="M193" s="140"/>
    </row>
    <row r="194" spans="1:13" ht="15" customHeight="1">
      <c r="A194" s="366"/>
      <c r="B194" s="357"/>
      <c r="C194" s="323"/>
      <c r="D194" s="138">
        <v>1</v>
      </c>
      <c r="E194" s="147">
        <v>1</v>
      </c>
      <c r="F194" s="147"/>
      <c r="G194" s="147">
        <v>1</v>
      </c>
      <c r="H194" s="55"/>
      <c r="I194" s="55"/>
      <c r="J194" s="139">
        <v>1963</v>
      </c>
      <c r="K194" s="164">
        <v>275</v>
      </c>
      <c r="L194" s="140">
        <f t="shared" si="8"/>
        <v>1410.585</v>
      </c>
      <c r="M194" s="140"/>
    </row>
    <row r="195" spans="1:13" ht="15" customHeight="1">
      <c r="A195" s="366"/>
      <c r="B195" s="357"/>
      <c r="C195" s="323"/>
      <c r="D195" s="138">
        <v>1</v>
      </c>
      <c r="E195" s="147"/>
      <c r="F195" s="147">
        <v>1</v>
      </c>
      <c r="G195" s="147">
        <v>1</v>
      </c>
      <c r="H195" s="55"/>
      <c r="I195" s="55"/>
      <c r="J195" s="139">
        <v>1928</v>
      </c>
      <c r="K195" s="164">
        <v>253</v>
      </c>
      <c r="L195" s="140">
        <f t="shared" si="8"/>
        <v>1297.7382</v>
      </c>
      <c r="M195" s="140"/>
    </row>
    <row r="196" spans="1:13" ht="15" customHeight="1">
      <c r="A196" s="366"/>
      <c r="B196" s="357"/>
      <c r="C196" s="323"/>
      <c r="D196" s="138">
        <v>1</v>
      </c>
      <c r="E196" s="147">
        <v>1</v>
      </c>
      <c r="F196" s="147"/>
      <c r="G196" s="147">
        <v>1</v>
      </c>
      <c r="H196" s="55"/>
      <c r="I196" s="55"/>
      <c r="J196" s="139">
        <v>1940</v>
      </c>
      <c r="K196" s="164">
        <v>306</v>
      </c>
      <c r="L196" s="140">
        <f t="shared" si="8"/>
        <v>1569.5964000000001</v>
      </c>
      <c r="M196" s="140"/>
    </row>
    <row r="197" spans="1:13" ht="15" customHeight="1">
      <c r="A197" s="366"/>
      <c r="B197" s="357"/>
      <c r="C197" s="323"/>
      <c r="D197" s="138">
        <v>1</v>
      </c>
      <c r="E197" s="147"/>
      <c r="F197" s="147">
        <v>1</v>
      </c>
      <c r="G197" s="147">
        <v>1</v>
      </c>
      <c r="H197" s="55"/>
      <c r="I197" s="55"/>
      <c r="J197" s="139">
        <v>1932</v>
      </c>
      <c r="K197" s="164">
        <v>29</v>
      </c>
      <c r="L197" s="140">
        <f t="shared" si="8"/>
        <v>148.7526</v>
      </c>
      <c r="M197" s="140"/>
    </row>
    <row r="198" spans="1:13" ht="15" customHeight="1">
      <c r="A198" s="366"/>
      <c r="B198" s="357"/>
      <c r="C198" s="323"/>
      <c r="D198" s="138">
        <v>1</v>
      </c>
      <c r="E198" s="147"/>
      <c r="F198" s="147">
        <v>1</v>
      </c>
      <c r="G198" s="147">
        <v>1</v>
      </c>
      <c r="H198" s="55"/>
      <c r="I198" s="55"/>
      <c r="J198" s="139">
        <v>1936</v>
      </c>
      <c r="K198" s="164">
        <v>80</v>
      </c>
      <c r="L198" s="140">
        <f t="shared" si="8"/>
        <v>410.35200000000003</v>
      </c>
      <c r="M198" s="140"/>
    </row>
    <row r="199" spans="1:13" ht="15" customHeight="1">
      <c r="A199" s="366"/>
      <c r="B199" s="357"/>
      <c r="C199" s="323"/>
      <c r="D199" s="138">
        <v>1</v>
      </c>
      <c r="E199" s="147"/>
      <c r="F199" s="147">
        <v>1</v>
      </c>
      <c r="G199" s="55"/>
      <c r="H199" s="147">
        <v>1</v>
      </c>
      <c r="I199" s="96" t="s">
        <v>27</v>
      </c>
      <c r="J199" s="139">
        <v>1936</v>
      </c>
      <c r="K199" s="164">
        <v>239</v>
      </c>
      <c r="L199" s="140">
        <f t="shared" si="8"/>
        <v>1225.9266</v>
      </c>
      <c r="M199" s="140"/>
    </row>
    <row r="200" spans="1:13" ht="15" customHeight="1">
      <c r="A200" s="366"/>
      <c r="B200" s="357"/>
      <c r="C200" s="323"/>
      <c r="D200" s="138">
        <v>1</v>
      </c>
      <c r="E200" s="147">
        <v>1</v>
      </c>
      <c r="F200" s="147"/>
      <c r="G200" s="147">
        <v>1</v>
      </c>
      <c r="H200" s="55"/>
      <c r="I200" s="55"/>
      <c r="J200" s="139">
        <v>1939</v>
      </c>
      <c r="K200" s="164">
        <v>66</v>
      </c>
      <c r="L200" s="140">
        <f t="shared" si="8"/>
        <v>338.54040000000003</v>
      </c>
      <c r="M200" s="140"/>
    </row>
    <row r="201" spans="1:13" ht="15" customHeight="1">
      <c r="A201" s="366"/>
      <c r="B201" s="357"/>
      <c r="C201" s="323"/>
      <c r="D201" s="138">
        <v>1</v>
      </c>
      <c r="E201" s="147"/>
      <c r="F201" s="147">
        <v>1</v>
      </c>
      <c r="G201" s="147">
        <v>1</v>
      </c>
      <c r="H201" s="55"/>
      <c r="I201" s="55"/>
      <c r="J201" s="139">
        <v>1928</v>
      </c>
      <c r="K201" s="164">
        <v>17</v>
      </c>
      <c r="L201" s="140">
        <f t="shared" si="8"/>
        <v>87.19980000000001</v>
      </c>
      <c r="M201" s="140"/>
    </row>
    <row r="202" spans="1:13" ht="15" customHeight="1">
      <c r="A202" s="366"/>
      <c r="B202" s="357"/>
      <c r="C202" s="323"/>
      <c r="D202" s="138">
        <v>1</v>
      </c>
      <c r="E202" s="147"/>
      <c r="F202" s="147">
        <v>1</v>
      </c>
      <c r="G202" s="147">
        <v>1</v>
      </c>
      <c r="H202" s="55"/>
      <c r="I202" s="55"/>
      <c r="J202" s="139">
        <v>1926</v>
      </c>
      <c r="K202" s="164">
        <v>225</v>
      </c>
      <c r="L202" s="140">
        <f t="shared" si="8"/>
        <v>1154.115</v>
      </c>
      <c r="M202" s="140"/>
    </row>
    <row r="203" spans="1:13" ht="15" customHeight="1">
      <c r="A203" s="366"/>
      <c r="B203" s="357"/>
      <c r="C203" s="323"/>
      <c r="D203" s="138">
        <v>1</v>
      </c>
      <c r="E203" s="147">
        <v>1</v>
      </c>
      <c r="F203" s="147"/>
      <c r="G203" s="147">
        <v>1</v>
      </c>
      <c r="H203" s="55"/>
      <c r="I203" s="55"/>
      <c r="J203" s="139">
        <v>1935</v>
      </c>
      <c r="K203" s="164">
        <v>604</v>
      </c>
      <c r="L203" s="140">
        <f t="shared" si="8"/>
        <v>3098.1576000000005</v>
      </c>
      <c r="M203" s="140"/>
    </row>
    <row r="204" spans="1:13" ht="15" customHeight="1">
      <c r="A204" s="366"/>
      <c r="B204" s="357"/>
      <c r="C204" s="323"/>
      <c r="D204" s="138">
        <v>1</v>
      </c>
      <c r="E204" s="147">
        <v>1</v>
      </c>
      <c r="F204" s="147"/>
      <c r="G204" s="147">
        <v>1</v>
      </c>
      <c r="H204" s="55"/>
      <c r="I204" s="55"/>
      <c r="J204" s="139">
        <v>1933</v>
      </c>
      <c r="K204" s="164">
        <v>303</v>
      </c>
      <c r="L204" s="140">
        <f t="shared" si="8"/>
        <v>1554.2082</v>
      </c>
      <c r="M204" s="140"/>
    </row>
    <row r="205" spans="1:13" ht="15" customHeight="1">
      <c r="A205" s="366"/>
      <c r="B205" s="357"/>
      <c r="C205" s="323"/>
      <c r="D205" s="138">
        <v>1</v>
      </c>
      <c r="E205" s="147"/>
      <c r="F205" s="147">
        <v>1</v>
      </c>
      <c r="G205" s="147">
        <v>1</v>
      </c>
      <c r="H205" s="55"/>
      <c r="I205" s="55"/>
      <c r="J205" s="139">
        <v>1927</v>
      </c>
      <c r="K205" s="164">
        <v>179</v>
      </c>
      <c r="L205" s="140">
        <f t="shared" si="8"/>
        <v>918.1626000000001</v>
      </c>
      <c r="M205" s="140"/>
    </row>
    <row r="206" spans="1:13" ht="15" customHeight="1">
      <c r="A206" s="366"/>
      <c r="B206" s="357"/>
      <c r="C206" s="323"/>
      <c r="D206" s="138">
        <v>1</v>
      </c>
      <c r="E206" s="147"/>
      <c r="F206" s="147">
        <v>1</v>
      </c>
      <c r="G206" s="147">
        <v>1</v>
      </c>
      <c r="H206" s="55"/>
      <c r="I206" s="55"/>
      <c r="J206" s="139">
        <v>1939</v>
      </c>
      <c r="K206" s="164">
        <v>430</v>
      </c>
      <c r="L206" s="140">
        <f t="shared" si="8"/>
        <v>2205.6420000000003</v>
      </c>
      <c r="M206" s="140"/>
    </row>
    <row r="207" spans="1:13" ht="15" customHeight="1">
      <c r="A207" s="366"/>
      <c r="B207" s="357"/>
      <c r="C207" s="323"/>
      <c r="D207" s="138">
        <v>1</v>
      </c>
      <c r="E207" s="147"/>
      <c r="F207" s="147">
        <v>1</v>
      </c>
      <c r="G207" s="147">
        <v>1</v>
      </c>
      <c r="H207" s="55"/>
      <c r="I207" s="55"/>
      <c r="J207" s="139">
        <v>1941</v>
      </c>
      <c r="K207" s="164">
        <v>38</v>
      </c>
      <c r="L207" s="140">
        <f t="shared" si="8"/>
        <v>194.9172</v>
      </c>
      <c r="M207" s="140"/>
    </row>
    <row r="208" spans="1:13" s="87" customFormat="1" ht="15" customHeight="1">
      <c r="A208" s="374" t="s">
        <v>100</v>
      </c>
      <c r="B208" s="374"/>
      <c r="C208" s="84"/>
      <c r="D208" s="103">
        <f>SUM(D184:D207)</f>
        <v>24</v>
      </c>
      <c r="E208" s="103">
        <f>SUM(E184:E207)</f>
        <v>11</v>
      </c>
      <c r="F208" s="103">
        <f>SUM(F184:F207)</f>
        <v>13</v>
      </c>
      <c r="G208" s="103">
        <f>SUM(G184:G207)</f>
        <v>23</v>
      </c>
      <c r="H208" s="143">
        <f>SUM(H184:H207)</f>
        <v>1</v>
      </c>
      <c r="I208" s="143"/>
      <c r="J208" s="143"/>
      <c r="K208" s="103">
        <f>SUM(K184:K207)</f>
        <v>5000</v>
      </c>
      <c r="L208" s="84"/>
      <c r="M208" s="162">
        <v>25647.09</v>
      </c>
    </row>
    <row r="209" spans="1:27" s="86" customFormat="1" ht="15" customHeight="1">
      <c r="A209" s="309" t="s">
        <v>112</v>
      </c>
      <c r="B209" s="309"/>
      <c r="C209" s="71"/>
      <c r="D209" s="123">
        <f>D29+D83+D94+D116+D133+D144+D170+D181+D208</f>
        <v>179</v>
      </c>
      <c r="E209" s="123">
        <f>E29+E83+E94+E116+E133+E144+E170+E181+E208</f>
        <v>97</v>
      </c>
      <c r="F209" s="123">
        <f>F29+F83+F94+F116+F133+F144+F170+F181+F208</f>
        <v>82</v>
      </c>
      <c r="G209" s="123">
        <f>G29+G83+G94+G116+G133+G144+G170+G181+G208</f>
        <v>176</v>
      </c>
      <c r="H209" s="123">
        <f>H29+H83+H94+H116+H133+H144+H170+H181+H208</f>
        <v>3</v>
      </c>
      <c r="I209" s="123"/>
      <c r="J209" s="123"/>
      <c r="K209" s="123">
        <f>K29+K83+K94+K116+K133+K144+K170+K181+K208</f>
        <v>28569</v>
      </c>
      <c r="L209" s="123">
        <f>L29+L83+L94+L116+L133+L144+L170+L181+L208</f>
        <v>0</v>
      </c>
      <c r="M209" s="125">
        <f>M29+M83+M94+M116+M133+M144+M170+M181+M208</f>
        <v>148095.13</v>
      </c>
      <c r="N209" s="159"/>
      <c r="O209" s="159"/>
      <c r="P209" s="159"/>
      <c r="Q209" s="159"/>
      <c r="R209" s="159"/>
      <c r="S209" s="159"/>
      <c r="T209" s="159"/>
      <c r="U209" s="159"/>
      <c r="V209" s="159"/>
      <c r="W209" s="159"/>
      <c r="X209" s="159"/>
      <c r="Y209" s="159"/>
      <c r="Z209" s="159"/>
      <c r="AA209" s="159"/>
    </row>
    <row r="211" spans="1:12" ht="18.75" customHeight="1">
      <c r="A211" s="57" t="s">
        <v>45</v>
      </c>
      <c r="B211" s="57"/>
      <c r="C211" s="127"/>
      <c r="D211" s="57"/>
      <c r="E211" s="57"/>
      <c r="F211" s="57"/>
      <c r="G211" s="57"/>
      <c r="H211" s="57"/>
      <c r="I211" s="57"/>
      <c r="J211" s="57"/>
      <c r="K211" s="57"/>
      <c r="L211" s="166"/>
    </row>
  </sheetData>
  <sheetProtection/>
  <mergeCells count="21">
    <mergeCell ref="A2:M2"/>
    <mergeCell ref="A1:L1"/>
    <mergeCell ref="A116:B116"/>
    <mergeCell ref="A30:B30"/>
    <mergeCell ref="A3:B3"/>
    <mergeCell ref="A29:B29"/>
    <mergeCell ref="A84:B84"/>
    <mergeCell ref="A94:B94"/>
    <mergeCell ref="A95:B95"/>
    <mergeCell ref="A83:B83"/>
    <mergeCell ref="A144:B144"/>
    <mergeCell ref="A170:B170"/>
    <mergeCell ref="A145:B145"/>
    <mergeCell ref="A117:B117"/>
    <mergeCell ref="A133:B133"/>
    <mergeCell ref="A134:B134"/>
    <mergeCell ref="A209:B209"/>
    <mergeCell ref="A171:B171"/>
    <mergeCell ref="A181:B181"/>
    <mergeCell ref="A182:B182"/>
    <mergeCell ref="A208:B208"/>
  </mergeCells>
  <printOptions/>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codeName="Foglio4">
    <tabColor indexed="57"/>
    <pageSetUpPr fitToPage="1"/>
  </sheetPr>
  <dimension ref="A1:D15"/>
  <sheetViews>
    <sheetView workbookViewId="0" topLeftCell="A1">
      <selection activeCell="H15" sqref="H15"/>
    </sheetView>
  </sheetViews>
  <sheetFormatPr defaultColWidth="9.140625" defaultRowHeight="12.75"/>
  <cols>
    <col min="1" max="1" width="60.140625" style="1" customWidth="1"/>
    <col min="2" max="2" width="7.7109375" style="1" customWidth="1"/>
    <col min="3" max="4" width="5.7109375" style="1" customWidth="1"/>
    <col min="5" max="5" width="10.28125" style="1" customWidth="1"/>
    <col min="6" max="16384" width="9.140625" style="1" customWidth="1"/>
  </cols>
  <sheetData>
    <row r="1" spans="1:4" s="11" customFormat="1" ht="30" customHeight="1">
      <c r="A1" s="82" t="s">
        <v>155</v>
      </c>
      <c r="B1" s="387">
        <v>40070321</v>
      </c>
      <c r="C1" s="387"/>
      <c r="D1" s="388"/>
    </row>
    <row r="2" spans="1:4" ht="79.5" customHeight="1">
      <c r="A2" s="316" t="s">
        <v>58</v>
      </c>
      <c r="B2" s="316"/>
      <c r="C2" s="316"/>
      <c r="D2" s="316"/>
    </row>
    <row r="3" spans="1:4" s="5" customFormat="1" ht="15" customHeight="1">
      <c r="A3" s="4" t="s">
        <v>118</v>
      </c>
      <c r="B3" s="4" t="s">
        <v>120</v>
      </c>
      <c r="C3" s="4" t="s">
        <v>90</v>
      </c>
      <c r="D3" s="4" t="s">
        <v>91</v>
      </c>
    </row>
    <row r="4" spans="1:4" ht="15" customHeight="1">
      <c r="A4" s="29" t="s">
        <v>77</v>
      </c>
      <c r="B4" s="3">
        <f>SUM(C4,D4)</f>
        <v>0</v>
      </c>
      <c r="C4" s="3">
        <v>0</v>
      </c>
      <c r="D4" s="3">
        <v>0</v>
      </c>
    </row>
    <row r="5" spans="1:4" ht="15" customHeight="1">
      <c r="A5" s="29" t="s">
        <v>78</v>
      </c>
      <c r="B5" s="3">
        <v>99</v>
      </c>
      <c r="C5" s="3">
        <v>37</v>
      </c>
      <c r="D5" s="3">
        <f>B5-C5</f>
        <v>62</v>
      </c>
    </row>
    <row r="6" spans="1:4" ht="15" customHeight="1">
      <c r="A6" s="29" t="s">
        <v>79</v>
      </c>
      <c r="B6" s="3">
        <v>18</v>
      </c>
      <c r="C6" s="3">
        <v>4</v>
      </c>
      <c r="D6" s="3">
        <f>B6-C6</f>
        <v>14</v>
      </c>
    </row>
    <row r="7" spans="1:4" ht="15" customHeight="1">
      <c r="A7" s="29" t="s">
        <v>80</v>
      </c>
      <c r="B7" s="3">
        <v>40</v>
      </c>
      <c r="C7" s="3">
        <v>22</v>
      </c>
      <c r="D7" s="3">
        <f>B7-C7</f>
        <v>18</v>
      </c>
    </row>
    <row r="8" spans="1:4" ht="15" customHeight="1">
      <c r="A8" s="29" t="s">
        <v>81</v>
      </c>
      <c r="B8" s="3">
        <f>SUM(C8,D8)</f>
        <v>0</v>
      </c>
      <c r="C8" s="3">
        <v>0</v>
      </c>
      <c r="D8" s="3">
        <v>0</v>
      </c>
    </row>
    <row r="9" spans="1:4" ht="15" customHeight="1">
      <c r="A9" s="29" t="s">
        <v>82</v>
      </c>
      <c r="B9" s="3">
        <v>29</v>
      </c>
      <c r="C9" s="3">
        <v>16</v>
      </c>
      <c r="D9" s="3">
        <f>B9-C9</f>
        <v>13</v>
      </c>
    </row>
    <row r="10" spans="1:4" ht="15" customHeight="1">
      <c r="A10" s="29" t="s">
        <v>83</v>
      </c>
      <c r="B10" s="3">
        <v>86</v>
      </c>
      <c r="C10" s="3">
        <v>28</v>
      </c>
      <c r="D10" s="3">
        <f>B10-C10</f>
        <v>58</v>
      </c>
    </row>
    <row r="11" spans="1:4" ht="15" customHeight="1">
      <c r="A11" s="29" t="s">
        <v>84</v>
      </c>
      <c r="B11" s="3">
        <f>SUM(C11,D11)</f>
        <v>0</v>
      </c>
      <c r="C11" s="3">
        <v>0</v>
      </c>
      <c r="D11" s="3">
        <v>0</v>
      </c>
    </row>
    <row r="12" spans="1:4" ht="15" customHeight="1">
      <c r="A12" s="29" t="s">
        <v>85</v>
      </c>
      <c r="B12" s="3">
        <v>4</v>
      </c>
      <c r="C12" s="3">
        <v>1</v>
      </c>
      <c r="D12" s="3">
        <f>B12-C12</f>
        <v>3</v>
      </c>
    </row>
    <row r="13" spans="1:4" ht="15.75">
      <c r="A13" s="28"/>
      <c r="B13" s="25">
        <f>SUM(B4:B12)</f>
        <v>276</v>
      </c>
      <c r="C13" s="25">
        <f>SUM(C4:C12)</f>
        <v>108</v>
      </c>
      <c r="D13" s="25">
        <f>SUM(D4:D12)</f>
        <v>168</v>
      </c>
    </row>
    <row r="15" ht="12.75">
      <c r="A15" s="1" t="s">
        <v>55</v>
      </c>
    </row>
  </sheetData>
  <mergeCells count="2">
    <mergeCell ref="B1:D1"/>
    <mergeCell ref="A2:D2"/>
  </mergeCell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Foglio5">
    <tabColor indexed="27"/>
  </sheetPr>
  <dimension ref="A1:AD42"/>
  <sheetViews>
    <sheetView workbookViewId="0" topLeftCell="A13">
      <selection activeCell="A8" sqref="A8:B8"/>
    </sheetView>
  </sheetViews>
  <sheetFormatPr defaultColWidth="9.140625" defaultRowHeight="12.75"/>
  <cols>
    <col min="1" max="2" width="20.7109375" style="44" customWidth="1"/>
    <col min="3" max="3" width="20.7109375" style="80" customWidth="1"/>
    <col min="4" max="4" width="7.7109375" style="44" customWidth="1"/>
    <col min="5" max="5" width="5.7109375" style="44" customWidth="1"/>
    <col min="6" max="6" width="5.7109375" style="126" customWidth="1"/>
    <col min="7" max="7" width="9.7109375" style="126" customWidth="1"/>
    <col min="8" max="8" width="9.7109375" style="44" customWidth="1"/>
    <col min="9" max="9" width="13.7109375" style="44" customWidth="1"/>
    <col min="10" max="10" width="10.140625" style="44" customWidth="1"/>
    <col min="11" max="12" width="15.7109375" style="44" customWidth="1"/>
    <col min="13" max="16384" width="9.140625" style="44" customWidth="1"/>
  </cols>
  <sheetData>
    <row r="1" spans="1:12" ht="30" customHeight="1">
      <c r="A1" s="314" t="s">
        <v>156</v>
      </c>
      <c r="B1" s="315"/>
      <c r="C1" s="315"/>
      <c r="D1" s="315"/>
      <c r="E1" s="315"/>
      <c r="F1" s="315"/>
      <c r="G1" s="315"/>
      <c r="H1" s="315"/>
      <c r="I1" s="315"/>
      <c r="J1" s="315"/>
      <c r="K1" s="315"/>
      <c r="L1" s="160">
        <v>40070233</v>
      </c>
    </row>
    <row r="2" spans="1:12" ht="39" customHeight="1">
      <c r="A2" s="377" t="s">
        <v>65</v>
      </c>
      <c r="B2" s="377"/>
      <c r="C2" s="377"/>
      <c r="D2" s="377"/>
      <c r="E2" s="377"/>
      <c r="F2" s="377"/>
      <c r="G2" s="377"/>
      <c r="H2" s="377"/>
      <c r="I2" s="377"/>
      <c r="J2" s="377"/>
      <c r="K2" s="377"/>
      <c r="L2" s="377"/>
    </row>
    <row r="3" spans="1:12" s="87" customFormat="1" ht="15" customHeight="1">
      <c r="A3" s="381" t="s">
        <v>77</v>
      </c>
      <c r="B3" s="381"/>
      <c r="C3" s="48"/>
      <c r="D3" s="48"/>
      <c r="E3" s="48"/>
      <c r="F3" s="48"/>
      <c r="G3" s="48"/>
      <c r="H3" s="48"/>
      <c r="I3" s="48"/>
      <c r="J3" s="48"/>
      <c r="K3" s="48"/>
      <c r="L3" s="48"/>
    </row>
    <row r="4" spans="1:12" ht="30" customHeight="1">
      <c r="A4" s="52" t="s">
        <v>5</v>
      </c>
      <c r="B4" s="52" t="s">
        <v>1</v>
      </c>
      <c r="C4" s="52" t="s">
        <v>3</v>
      </c>
      <c r="D4" s="52" t="s">
        <v>120</v>
      </c>
      <c r="E4" s="52" t="s">
        <v>90</v>
      </c>
      <c r="F4" s="52" t="s">
        <v>91</v>
      </c>
      <c r="G4" s="52" t="s">
        <v>140</v>
      </c>
      <c r="H4" s="52" t="s">
        <v>127</v>
      </c>
      <c r="I4" s="52" t="s">
        <v>159</v>
      </c>
      <c r="J4" s="52" t="s">
        <v>119</v>
      </c>
      <c r="K4" s="52" t="s">
        <v>26</v>
      </c>
      <c r="L4" s="52" t="s">
        <v>185</v>
      </c>
    </row>
    <row r="5" spans="1:12" s="87" customFormat="1" ht="15" customHeight="1">
      <c r="A5" s="374" t="s">
        <v>93</v>
      </c>
      <c r="B5" s="374"/>
      <c r="C5" s="84"/>
      <c r="D5" s="103">
        <v>0</v>
      </c>
      <c r="E5" s="103">
        <v>0</v>
      </c>
      <c r="F5" s="103">
        <v>0</v>
      </c>
      <c r="G5" s="103">
        <v>0</v>
      </c>
      <c r="H5" s="143">
        <v>0</v>
      </c>
      <c r="I5" s="143"/>
      <c r="J5" s="143"/>
      <c r="K5" s="162">
        <v>0</v>
      </c>
      <c r="L5" s="162">
        <v>0</v>
      </c>
    </row>
    <row r="6" spans="1:12" s="87" customFormat="1" ht="15" customHeight="1">
      <c r="A6" s="381" t="s">
        <v>78</v>
      </c>
      <c r="B6" s="381"/>
      <c r="C6" s="48"/>
      <c r="D6" s="48"/>
      <c r="E6" s="48"/>
      <c r="F6" s="48"/>
      <c r="G6" s="48"/>
      <c r="H6" s="48"/>
      <c r="I6" s="48"/>
      <c r="J6" s="48"/>
      <c r="K6" s="48"/>
      <c r="L6" s="48"/>
    </row>
    <row r="7" spans="1:12" ht="38.25" customHeight="1">
      <c r="A7" s="52" t="s">
        <v>5</v>
      </c>
      <c r="B7" s="52" t="s">
        <v>1</v>
      </c>
      <c r="C7" s="52" t="s">
        <v>3</v>
      </c>
      <c r="D7" s="52" t="s">
        <v>120</v>
      </c>
      <c r="E7" s="52" t="s">
        <v>90</v>
      </c>
      <c r="F7" s="52" t="s">
        <v>91</v>
      </c>
      <c r="G7" s="52" t="s">
        <v>140</v>
      </c>
      <c r="H7" s="52" t="s">
        <v>127</v>
      </c>
      <c r="I7" s="52" t="s">
        <v>159</v>
      </c>
      <c r="J7" s="52" t="s">
        <v>119</v>
      </c>
      <c r="K7" s="52" t="s">
        <v>26</v>
      </c>
      <c r="L7" s="52" t="s">
        <v>185</v>
      </c>
    </row>
    <row r="8" spans="1:12" s="87" customFormat="1" ht="15" customHeight="1">
      <c r="A8" s="396" t="s">
        <v>94</v>
      </c>
      <c r="B8" s="397"/>
      <c r="C8" s="143"/>
      <c r="D8" s="143">
        <v>0</v>
      </c>
      <c r="E8" s="143">
        <v>0</v>
      </c>
      <c r="F8" s="143">
        <v>0</v>
      </c>
      <c r="G8" s="143">
        <v>0</v>
      </c>
      <c r="H8" s="143">
        <v>0</v>
      </c>
      <c r="I8" s="143"/>
      <c r="J8" s="143"/>
      <c r="K8" s="162">
        <v>0</v>
      </c>
      <c r="L8" s="162">
        <v>0</v>
      </c>
    </row>
    <row r="9" spans="1:12" s="87" customFormat="1" ht="15" customHeight="1">
      <c r="A9" s="381" t="s">
        <v>79</v>
      </c>
      <c r="B9" s="381"/>
      <c r="C9" s="48"/>
      <c r="D9" s="48"/>
      <c r="E9" s="48"/>
      <c r="F9" s="48"/>
      <c r="G9" s="48"/>
      <c r="H9" s="48"/>
      <c r="I9" s="48"/>
      <c r="J9" s="48"/>
      <c r="K9" s="48"/>
      <c r="L9" s="48"/>
    </row>
    <row r="10" spans="1:12" ht="38.25" customHeight="1">
      <c r="A10" s="52" t="s">
        <v>5</v>
      </c>
      <c r="B10" s="52" t="s">
        <v>1</v>
      </c>
      <c r="C10" s="52" t="s">
        <v>3</v>
      </c>
      <c r="D10" s="52" t="s">
        <v>120</v>
      </c>
      <c r="E10" s="52" t="s">
        <v>90</v>
      </c>
      <c r="F10" s="52" t="s">
        <v>91</v>
      </c>
      <c r="G10" s="52" t="s">
        <v>140</v>
      </c>
      <c r="H10" s="52" t="s">
        <v>127</v>
      </c>
      <c r="I10" s="52" t="s">
        <v>159</v>
      </c>
      <c r="J10" s="52" t="s">
        <v>119</v>
      </c>
      <c r="K10" s="52" t="s">
        <v>124</v>
      </c>
      <c r="L10" s="52" t="s">
        <v>185</v>
      </c>
    </row>
    <row r="11" spans="1:12" s="87" customFormat="1" ht="15" customHeight="1">
      <c r="A11" s="374" t="s">
        <v>95</v>
      </c>
      <c r="B11" s="374"/>
      <c r="C11" s="143"/>
      <c r="D11" s="103">
        <v>0</v>
      </c>
      <c r="E11" s="103">
        <v>0</v>
      </c>
      <c r="F11" s="103">
        <v>0</v>
      </c>
      <c r="G11" s="103">
        <v>0</v>
      </c>
      <c r="H11" s="143">
        <v>0</v>
      </c>
      <c r="I11" s="143"/>
      <c r="J11" s="143"/>
      <c r="K11" s="162">
        <v>0</v>
      </c>
      <c r="L11" s="162">
        <v>0</v>
      </c>
    </row>
    <row r="12" spans="1:12" s="87" customFormat="1" ht="15" customHeight="1">
      <c r="A12" s="381" t="s">
        <v>80</v>
      </c>
      <c r="B12" s="381"/>
      <c r="C12" s="48"/>
      <c r="D12" s="48"/>
      <c r="E12" s="48"/>
      <c r="F12" s="48"/>
      <c r="G12" s="48"/>
      <c r="H12" s="48"/>
      <c r="I12" s="48"/>
      <c r="J12" s="48"/>
      <c r="K12" s="48"/>
      <c r="L12" s="48"/>
    </row>
    <row r="13" spans="1:12" ht="38.25" customHeight="1">
      <c r="A13" s="52" t="s">
        <v>5</v>
      </c>
      <c r="B13" s="52" t="s">
        <v>1</v>
      </c>
      <c r="C13" s="52" t="s">
        <v>3</v>
      </c>
      <c r="D13" s="52" t="s">
        <v>120</v>
      </c>
      <c r="E13" s="52" t="s">
        <v>90</v>
      </c>
      <c r="F13" s="52" t="s">
        <v>91</v>
      </c>
      <c r="G13" s="52" t="s">
        <v>140</v>
      </c>
      <c r="H13" s="52" t="s">
        <v>127</v>
      </c>
      <c r="I13" s="52" t="s">
        <v>159</v>
      </c>
      <c r="J13" s="52" t="s">
        <v>119</v>
      </c>
      <c r="K13" s="52" t="s">
        <v>26</v>
      </c>
      <c r="L13" s="52" t="s">
        <v>185</v>
      </c>
    </row>
    <row r="14" spans="1:12" s="87" customFormat="1" ht="15" customHeight="1">
      <c r="A14" s="374" t="s">
        <v>96</v>
      </c>
      <c r="B14" s="374"/>
      <c r="C14" s="143"/>
      <c r="D14" s="103">
        <v>0</v>
      </c>
      <c r="E14" s="103">
        <v>0</v>
      </c>
      <c r="F14" s="103">
        <v>0</v>
      </c>
      <c r="G14" s="103">
        <v>0</v>
      </c>
      <c r="H14" s="143">
        <v>0</v>
      </c>
      <c r="I14" s="143"/>
      <c r="J14" s="143"/>
      <c r="K14" s="162">
        <v>0</v>
      </c>
      <c r="L14" s="162">
        <v>0</v>
      </c>
    </row>
    <row r="15" spans="1:12" s="87" customFormat="1" ht="15" customHeight="1">
      <c r="A15" s="381" t="s">
        <v>81</v>
      </c>
      <c r="B15" s="381"/>
      <c r="C15" s="48"/>
      <c r="D15" s="48"/>
      <c r="E15" s="48"/>
      <c r="F15" s="48"/>
      <c r="G15" s="48"/>
      <c r="H15" s="48"/>
      <c r="I15" s="48"/>
      <c r="J15" s="48"/>
      <c r="K15" s="48"/>
      <c r="L15" s="48"/>
    </row>
    <row r="16" spans="1:12" ht="38.25" customHeight="1">
      <c r="A16" s="52" t="s">
        <v>5</v>
      </c>
      <c r="B16" s="52" t="s">
        <v>1</v>
      </c>
      <c r="C16" s="52" t="s">
        <v>3</v>
      </c>
      <c r="D16" s="52" t="s">
        <v>120</v>
      </c>
      <c r="E16" s="52" t="s">
        <v>90</v>
      </c>
      <c r="F16" s="52" t="s">
        <v>91</v>
      </c>
      <c r="G16" s="52" t="s">
        <v>140</v>
      </c>
      <c r="H16" s="52" t="s">
        <v>127</v>
      </c>
      <c r="I16" s="52" t="s">
        <v>159</v>
      </c>
      <c r="J16" s="52" t="s">
        <v>119</v>
      </c>
      <c r="K16" s="52" t="s">
        <v>26</v>
      </c>
      <c r="L16" s="52" t="s">
        <v>185</v>
      </c>
    </row>
    <row r="17" spans="1:12" s="87" customFormat="1" ht="15" customHeight="1">
      <c r="A17" s="374" t="s">
        <v>97</v>
      </c>
      <c r="B17" s="374"/>
      <c r="C17" s="143"/>
      <c r="D17" s="103">
        <v>0</v>
      </c>
      <c r="E17" s="103">
        <v>0</v>
      </c>
      <c r="F17" s="103">
        <v>0</v>
      </c>
      <c r="G17" s="103">
        <v>0</v>
      </c>
      <c r="H17" s="143">
        <v>0</v>
      </c>
      <c r="I17" s="143"/>
      <c r="J17" s="143"/>
      <c r="K17" s="162">
        <v>0</v>
      </c>
      <c r="L17" s="162">
        <v>0</v>
      </c>
    </row>
    <row r="18" spans="1:12" s="87" customFormat="1" ht="15" customHeight="1">
      <c r="A18" s="381" t="s">
        <v>82</v>
      </c>
      <c r="B18" s="381"/>
      <c r="C18" s="48"/>
      <c r="D18" s="48"/>
      <c r="E18" s="48"/>
      <c r="F18" s="48"/>
      <c r="G18" s="48"/>
      <c r="H18" s="48"/>
      <c r="I18" s="48"/>
      <c r="J18" s="48"/>
      <c r="K18" s="48"/>
      <c r="L18" s="48"/>
    </row>
    <row r="19" spans="1:12" ht="38.25" customHeight="1">
      <c r="A19" s="52" t="s">
        <v>5</v>
      </c>
      <c r="B19" s="52" t="s">
        <v>1</v>
      </c>
      <c r="C19" s="52" t="s">
        <v>3</v>
      </c>
      <c r="D19" s="52" t="s">
        <v>120</v>
      </c>
      <c r="E19" s="52" t="s">
        <v>90</v>
      </c>
      <c r="F19" s="52" t="s">
        <v>91</v>
      </c>
      <c r="G19" s="52" t="s">
        <v>140</v>
      </c>
      <c r="H19" s="52" t="s">
        <v>127</v>
      </c>
      <c r="I19" s="52" t="s">
        <v>159</v>
      </c>
      <c r="J19" s="52" t="s">
        <v>119</v>
      </c>
      <c r="K19" s="52" t="s">
        <v>26</v>
      </c>
      <c r="L19" s="52" t="s">
        <v>185</v>
      </c>
    </row>
    <row r="20" spans="1:12" s="87" customFormat="1" ht="15" customHeight="1">
      <c r="A20" s="374" t="s">
        <v>146</v>
      </c>
      <c r="B20" s="374"/>
      <c r="C20" s="143"/>
      <c r="D20" s="103">
        <v>0</v>
      </c>
      <c r="E20" s="103">
        <v>0</v>
      </c>
      <c r="F20" s="103">
        <v>0</v>
      </c>
      <c r="G20" s="103">
        <v>0</v>
      </c>
      <c r="H20" s="143">
        <v>0</v>
      </c>
      <c r="I20" s="143"/>
      <c r="J20" s="143"/>
      <c r="K20" s="162">
        <v>0</v>
      </c>
      <c r="L20" s="162">
        <v>0</v>
      </c>
    </row>
    <row r="21" spans="1:12" s="87" customFormat="1" ht="15" customHeight="1">
      <c r="A21" s="381" t="s">
        <v>83</v>
      </c>
      <c r="B21" s="381"/>
      <c r="C21" s="48"/>
      <c r="D21" s="48"/>
      <c r="E21" s="48"/>
      <c r="F21" s="48"/>
      <c r="G21" s="48"/>
      <c r="H21" s="48"/>
      <c r="I21" s="48"/>
      <c r="J21" s="48"/>
      <c r="K21" s="48"/>
      <c r="L21" s="48"/>
    </row>
    <row r="22" spans="1:12" ht="38.25" customHeight="1">
      <c r="A22" s="52" t="s">
        <v>5</v>
      </c>
      <c r="B22" s="52" t="s">
        <v>1</v>
      </c>
      <c r="C22" s="52" t="s">
        <v>3</v>
      </c>
      <c r="D22" s="52" t="s">
        <v>120</v>
      </c>
      <c r="E22" s="52" t="s">
        <v>90</v>
      </c>
      <c r="F22" s="52" t="s">
        <v>91</v>
      </c>
      <c r="G22" s="52" t="s">
        <v>140</v>
      </c>
      <c r="H22" s="52" t="s">
        <v>127</v>
      </c>
      <c r="I22" s="52" t="s">
        <v>159</v>
      </c>
      <c r="J22" s="52" t="s">
        <v>119</v>
      </c>
      <c r="K22" s="52" t="s">
        <v>26</v>
      </c>
      <c r="L22" s="52" t="s">
        <v>185</v>
      </c>
    </row>
    <row r="23" spans="1:12" ht="15" customHeight="1">
      <c r="A23" s="357"/>
      <c r="B23" s="357"/>
      <c r="C23" s="323"/>
      <c r="D23" s="138">
        <v>1</v>
      </c>
      <c r="E23" s="147">
        <v>1</v>
      </c>
      <c r="F23" s="147"/>
      <c r="G23" s="147">
        <v>1</v>
      </c>
      <c r="H23" s="55"/>
      <c r="I23" s="55"/>
      <c r="J23" s="139">
        <v>1947</v>
      </c>
      <c r="K23" s="168">
        <f aca="true" t="shared" si="0" ref="K23:K32">65.74*2</f>
        <v>131.48</v>
      </c>
      <c r="L23" s="140"/>
    </row>
    <row r="24" spans="1:12" ht="15" customHeight="1">
      <c r="A24" s="357"/>
      <c r="B24" s="357"/>
      <c r="C24" s="323"/>
      <c r="D24" s="138">
        <v>1</v>
      </c>
      <c r="E24" s="147">
        <v>1</v>
      </c>
      <c r="F24" s="147"/>
      <c r="G24" s="147">
        <v>1</v>
      </c>
      <c r="H24" s="55"/>
      <c r="I24" s="55"/>
      <c r="J24" s="139">
        <v>1924</v>
      </c>
      <c r="K24" s="168">
        <f t="shared" si="0"/>
        <v>131.48</v>
      </c>
      <c r="L24" s="140"/>
    </row>
    <row r="25" spans="1:12" ht="15" customHeight="1">
      <c r="A25" s="357"/>
      <c r="B25" s="357"/>
      <c r="C25" s="323"/>
      <c r="D25" s="138">
        <v>1</v>
      </c>
      <c r="E25" s="147">
        <v>1</v>
      </c>
      <c r="F25" s="147"/>
      <c r="G25" s="147">
        <v>1</v>
      </c>
      <c r="H25" s="55"/>
      <c r="I25" s="55"/>
      <c r="J25" s="139">
        <v>1941</v>
      </c>
      <c r="K25" s="168">
        <f t="shared" si="0"/>
        <v>131.48</v>
      </c>
      <c r="L25" s="140"/>
    </row>
    <row r="26" spans="1:12" ht="15" customHeight="1">
      <c r="A26" s="357"/>
      <c r="B26" s="357"/>
      <c r="C26" s="323"/>
      <c r="D26" s="138">
        <v>1</v>
      </c>
      <c r="E26" s="147"/>
      <c r="F26" s="147">
        <v>1</v>
      </c>
      <c r="G26" s="147">
        <v>1</v>
      </c>
      <c r="H26" s="55"/>
      <c r="I26" s="55"/>
      <c r="J26" s="139">
        <v>1962</v>
      </c>
      <c r="K26" s="168">
        <f t="shared" si="0"/>
        <v>131.48</v>
      </c>
      <c r="L26" s="140"/>
    </row>
    <row r="27" spans="1:12" ht="15" customHeight="1">
      <c r="A27" s="357"/>
      <c r="B27" s="357"/>
      <c r="C27" s="323"/>
      <c r="D27" s="138">
        <v>1</v>
      </c>
      <c r="E27" s="147">
        <v>1</v>
      </c>
      <c r="F27" s="147"/>
      <c r="G27" s="147">
        <v>1</v>
      </c>
      <c r="H27" s="55"/>
      <c r="I27" s="55"/>
      <c r="J27" s="139">
        <v>1959</v>
      </c>
      <c r="K27" s="168">
        <f t="shared" si="0"/>
        <v>131.48</v>
      </c>
      <c r="L27" s="140"/>
    </row>
    <row r="28" spans="1:12" ht="15" customHeight="1">
      <c r="A28" s="357"/>
      <c r="B28" s="357"/>
      <c r="C28" s="323"/>
      <c r="D28" s="138">
        <v>1</v>
      </c>
      <c r="E28" s="147">
        <v>1</v>
      </c>
      <c r="F28" s="147"/>
      <c r="G28" s="147">
        <v>1</v>
      </c>
      <c r="H28" s="55"/>
      <c r="I28" s="55"/>
      <c r="J28" s="139">
        <v>1938</v>
      </c>
      <c r="K28" s="168">
        <f t="shared" si="0"/>
        <v>131.48</v>
      </c>
      <c r="L28" s="140"/>
    </row>
    <row r="29" spans="1:12" ht="15" customHeight="1">
      <c r="A29" s="357"/>
      <c r="B29" s="357"/>
      <c r="C29" s="323"/>
      <c r="D29" s="138">
        <v>1</v>
      </c>
      <c r="E29" s="147">
        <v>1</v>
      </c>
      <c r="F29" s="147"/>
      <c r="G29" s="147">
        <v>1</v>
      </c>
      <c r="H29" s="55"/>
      <c r="I29" s="55"/>
      <c r="J29" s="139">
        <v>1941</v>
      </c>
      <c r="K29" s="168">
        <f t="shared" si="0"/>
        <v>131.48</v>
      </c>
      <c r="L29" s="140"/>
    </row>
    <row r="30" spans="1:12" ht="15" customHeight="1">
      <c r="A30" s="357"/>
      <c r="B30" s="357"/>
      <c r="C30" s="323"/>
      <c r="D30" s="138">
        <v>1</v>
      </c>
      <c r="E30" s="147">
        <v>1</v>
      </c>
      <c r="F30" s="147"/>
      <c r="G30" s="147">
        <v>1</v>
      </c>
      <c r="H30" s="55"/>
      <c r="I30" s="55"/>
      <c r="J30" s="139">
        <v>1942</v>
      </c>
      <c r="K30" s="168">
        <f t="shared" si="0"/>
        <v>131.48</v>
      </c>
      <c r="L30" s="140"/>
    </row>
    <row r="31" spans="1:12" ht="15" customHeight="1">
      <c r="A31" s="357"/>
      <c r="B31" s="357"/>
      <c r="C31" s="323"/>
      <c r="D31" s="138">
        <v>1</v>
      </c>
      <c r="E31" s="147">
        <v>1</v>
      </c>
      <c r="F31" s="147"/>
      <c r="G31" s="147">
        <v>1</v>
      </c>
      <c r="H31" s="55"/>
      <c r="I31" s="55"/>
      <c r="J31" s="139">
        <v>1942</v>
      </c>
      <c r="K31" s="168">
        <f t="shared" si="0"/>
        <v>131.48</v>
      </c>
      <c r="L31" s="140"/>
    </row>
    <row r="32" spans="1:12" ht="15" customHeight="1">
      <c r="A32" s="357"/>
      <c r="B32" s="357"/>
      <c r="C32" s="323"/>
      <c r="D32" s="138">
        <v>1</v>
      </c>
      <c r="E32" s="147"/>
      <c r="F32" s="147">
        <v>1</v>
      </c>
      <c r="G32" s="147">
        <v>1</v>
      </c>
      <c r="H32" s="55"/>
      <c r="I32" s="55"/>
      <c r="J32" s="139">
        <v>1971</v>
      </c>
      <c r="K32" s="168">
        <f t="shared" si="0"/>
        <v>131.48</v>
      </c>
      <c r="L32" s="140"/>
    </row>
    <row r="33" spans="1:12" s="87" customFormat="1" ht="15" customHeight="1">
      <c r="A33" s="374" t="s">
        <v>98</v>
      </c>
      <c r="B33" s="374"/>
      <c r="C33" s="143"/>
      <c r="D33" s="143">
        <f>SUM(D23:D32)</f>
        <v>10</v>
      </c>
      <c r="E33" s="143">
        <f>SUM(E23:E32)</f>
        <v>8</v>
      </c>
      <c r="F33" s="143">
        <f>SUM(F23:F32)</f>
        <v>2</v>
      </c>
      <c r="G33" s="143">
        <f>SUM(G23:G32)</f>
        <v>10</v>
      </c>
      <c r="H33" s="143">
        <f>SUM(H23:H32)</f>
        <v>0</v>
      </c>
      <c r="I33" s="143"/>
      <c r="J33" s="143"/>
      <c r="K33" s="84"/>
      <c r="L33" s="162">
        <v>6249.73</v>
      </c>
    </row>
    <row r="34" spans="1:12" s="87" customFormat="1" ht="15" customHeight="1">
      <c r="A34" s="381" t="s">
        <v>84</v>
      </c>
      <c r="B34" s="381"/>
      <c r="C34" s="48"/>
      <c r="D34" s="48"/>
      <c r="E34" s="48"/>
      <c r="F34" s="48"/>
      <c r="G34" s="48"/>
      <c r="H34" s="48"/>
      <c r="I34" s="48"/>
      <c r="J34" s="48"/>
      <c r="K34" s="48"/>
      <c r="L34" s="48"/>
    </row>
    <row r="35" spans="1:12" ht="38.25" customHeight="1">
      <c r="A35" s="52" t="s">
        <v>5</v>
      </c>
      <c r="B35" s="52" t="s">
        <v>1</v>
      </c>
      <c r="C35" s="52" t="s">
        <v>3</v>
      </c>
      <c r="D35" s="52" t="s">
        <v>120</v>
      </c>
      <c r="E35" s="52" t="s">
        <v>90</v>
      </c>
      <c r="F35" s="52" t="s">
        <v>91</v>
      </c>
      <c r="G35" s="52" t="s">
        <v>140</v>
      </c>
      <c r="H35" s="52" t="s">
        <v>127</v>
      </c>
      <c r="I35" s="52" t="s">
        <v>159</v>
      </c>
      <c r="J35" s="52" t="s">
        <v>119</v>
      </c>
      <c r="K35" s="52" t="s">
        <v>26</v>
      </c>
      <c r="L35" s="52" t="s">
        <v>185</v>
      </c>
    </row>
    <row r="36" spans="1:12" s="87" customFormat="1" ht="15" customHeight="1">
      <c r="A36" s="374" t="s">
        <v>99</v>
      </c>
      <c r="B36" s="374"/>
      <c r="C36" s="143"/>
      <c r="D36" s="103">
        <v>0</v>
      </c>
      <c r="E36" s="103">
        <v>0</v>
      </c>
      <c r="F36" s="103">
        <v>0</v>
      </c>
      <c r="G36" s="103">
        <v>0</v>
      </c>
      <c r="H36" s="143">
        <v>0</v>
      </c>
      <c r="I36" s="143"/>
      <c r="J36" s="143"/>
      <c r="K36" s="162">
        <v>0</v>
      </c>
      <c r="L36" s="162">
        <v>0</v>
      </c>
    </row>
    <row r="37" spans="1:12" s="87" customFormat="1" ht="15" customHeight="1">
      <c r="A37" s="381" t="s">
        <v>85</v>
      </c>
      <c r="B37" s="381"/>
      <c r="C37" s="48"/>
      <c r="D37" s="48"/>
      <c r="E37" s="48"/>
      <c r="F37" s="48"/>
      <c r="G37" s="48"/>
      <c r="H37" s="48"/>
      <c r="I37" s="48"/>
      <c r="J37" s="48"/>
      <c r="K37" s="48"/>
      <c r="L37" s="48"/>
    </row>
    <row r="38" spans="1:12" ht="38.25" customHeight="1">
      <c r="A38" s="52" t="s">
        <v>5</v>
      </c>
      <c r="B38" s="52" t="s">
        <v>1</v>
      </c>
      <c r="C38" s="52" t="s">
        <v>3</v>
      </c>
      <c r="D38" s="52" t="s">
        <v>120</v>
      </c>
      <c r="E38" s="52" t="s">
        <v>90</v>
      </c>
      <c r="F38" s="52" t="s">
        <v>91</v>
      </c>
      <c r="G38" s="52" t="s">
        <v>140</v>
      </c>
      <c r="H38" s="52" t="s">
        <v>127</v>
      </c>
      <c r="I38" s="52" t="s">
        <v>159</v>
      </c>
      <c r="J38" s="52" t="s">
        <v>119</v>
      </c>
      <c r="K38" s="52" t="s">
        <v>26</v>
      </c>
      <c r="L38" s="52" t="s">
        <v>185</v>
      </c>
    </row>
    <row r="39" spans="1:12" s="87" customFormat="1" ht="15" customHeight="1">
      <c r="A39" s="374" t="s">
        <v>100</v>
      </c>
      <c r="B39" s="374"/>
      <c r="C39" s="143"/>
      <c r="D39" s="103">
        <v>0</v>
      </c>
      <c r="E39" s="103">
        <v>0</v>
      </c>
      <c r="F39" s="103">
        <v>0</v>
      </c>
      <c r="G39" s="103">
        <v>0</v>
      </c>
      <c r="H39" s="143">
        <v>0</v>
      </c>
      <c r="I39" s="143"/>
      <c r="J39" s="143"/>
      <c r="K39" s="162">
        <v>0</v>
      </c>
      <c r="L39" s="162">
        <v>0</v>
      </c>
    </row>
    <row r="40" spans="1:30" s="86" customFormat="1" ht="15" customHeight="1">
      <c r="A40" s="309" t="s">
        <v>112</v>
      </c>
      <c r="B40" s="309"/>
      <c r="C40" s="71"/>
      <c r="D40" s="123">
        <f>D33</f>
        <v>10</v>
      </c>
      <c r="E40" s="123">
        <f>E33</f>
        <v>8</v>
      </c>
      <c r="F40" s="123">
        <f>F33</f>
        <v>2</v>
      </c>
      <c r="G40" s="123">
        <f>G33</f>
        <v>10</v>
      </c>
      <c r="H40" s="123">
        <f>H33</f>
        <v>0</v>
      </c>
      <c r="I40" s="123"/>
      <c r="J40" s="123"/>
      <c r="K40" s="123">
        <f>K33</f>
        <v>0</v>
      </c>
      <c r="L40" s="125">
        <f>L33</f>
        <v>6249.73</v>
      </c>
      <c r="M40" s="159"/>
      <c r="N40" s="159"/>
      <c r="O40" s="159"/>
      <c r="P40" s="159"/>
      <c r="Q40" s="159"/>
      <c r="R40" s="159"/>
      <c r="S40" s="159"/>
      <c r="T40" s="159"/>
      <c r="U40" s="159"/>
      <c r="V40" s="159"/>
      <c r="W40" s="159"/>
      <c r="X40" s="159"/>
      <c r="Y40" s="159"/>
      <c r="Z40" s="159"/>
      <c r="AA40" s="159"/>
      <c r="AB40" s="159"/>
      <c r="AC40" s="159"/>
      <c r="AD40" s="159"/>
    </row>
    <row r="42" spans="1:7" ht="12.75">
      <c r="A42" s="44" t="s">
        <v>45</v>
      </c>
      <c r="E42" s="126"/>
      <c r="G42" s="44"/>
    </row>
  </sheetData>
  <mergeCells count="21">
    <mergeCell ref="A8:B8"/>
    <mergeCell ref="A40:B40"/>
    <mergeCell ref="A18:B18"/>
    <mergeCell ref="A20:B20"/>
    <mergeCell ref="A3:B3"/>
    <mergeCell ref="A5:B5"/>
    <mergeCell ref="A6:B6"/>
    <mergeCell ref="A9:B9"/>
    <mergeCell ref="A11:B11"/>
    <mergeCell ref="A12:B12"/>
    <mergeCell ref="A14:B14"/>
    <mergeCell ref="A1:K1"/>
    <mergeCell ref="A37:B37"/>
    <mergeCell ref="A39:B39"/>
    <mergeCell ref="A2:L2"/>
    <mergeCell ref="A21:B21"/>
    <mergeCell ref="A33:B33"/>
    <mergeCell ref="A34:B34"/>
    <mergeCell ref="A36:B36"/>
    <mergeCell ref="A15:B15"/>
    <mergeCell ref="A17:B17"/>
  </mergeCell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codeName="Foglio6">
    <tabColor indexed="57"/>
  </sheetPr>
  <dimension ref="A1:M89"/>
  <sheetViews>
    <sheetView workbookViewId="0" topLeftCell="A10">
      <selection activeCell="A84" sqref="A84:B84"/>
    </sheetView>
  </sheetViews>
  <sheetFormatPr defaultColWidth="9.140625" defaultRowHeight="12.75"/>
  <cols>
    <col min="1" max="2" width="20.7109375" style="44" customWidth="1"/>
    <col min="3" max="3" width="20.7109375" style="80" customWidth="1"/>
    <col min="4" max="4" width="7.7109375" style="44" customWidth="1"/>
    <col min="5" max="5" width="5.7109375" style="129" customWidth="1"/>
    <col min="6" max="6" width="5.7109375" style="165" customWidth="1"/>
    <col min="7" max="8" width="9.7109375" style="44" customWidth="1"/>
    <col min="9" max="9" width="13.7109375" style="44" customWidth="1"/>
    <col min="10" max="10" width="10.140625" style="44" customWidth="1"/>
    <col min="11" max="11" width="14.7109375" style="44" customWidth="1"/>
    <col min="12" max="12" width="16.8515625" style="44" customWidth="1"/>
    <col min="13" max="16384" width="9.140625" style="44" customWidth="1"/>
  </cols>
  <sheetData>
    <row r="1" spans="1:12" ht="30" customHeight="1">
      <c r="A1" s="314" t="s">
        <v>64</v>
      </c>
      <c r="B1" s="315"/>
      <c r="C1" s="315"/>
      <c r="D1" s="315"/>
      <c r="E1" s="315"/>
      <c r="F1" s="315"/>
      <c r="G1" s="315"/>
      <c r="H1" s="315"/>
      <c r="I1" s="315"/>
      <c r="J1" s="315"/>
      <c r="K1" s="315"/>
      <c r="L1" s="92">
        <v>70070232</v>
      </c>
    </row>
    <row r="2" spans="1:12" ht="45.75" customHeight="1">
      <c r="A2" s="389" t="s">
        <v>186</v>
      </c>
      <c r="B2" s="389"/>
      <c r="C2" s="389"/>
      <c r="D2" s="389"/>
      <c r="E2" s="389"/>
      <c r="F2" s="389"/>
      <c r="G2" s="389"/>
      <c r="H2" s="389"/>
      <c r="I2" s="389"/>
      <c r="J2" s="389"/>
      <c r="K2" s="389"/>
      <c r="L2" s="389"/>
    </row>
    <row r="3" spans="1:12" ht="15.75">
      <c r="A3" s="381" t="s">
        <v>77</v>
      </c>
      <c r="B3" s="381"/>
      <c r="C3" s="48"/>
      <c r="D3" s="48"/>
      <c r="E3" s="48"/>
      <c r="F3" s="48"/>
      <c r="G3" s="48"/>
      <c r="H3" s="48"/>
      <c r="I3" s="48"/>
      <c r="J3" s="48"/>
      <c r="K3" s="48"/>
      <c r="L3" s="48"/>
    </row>
    <row r="4" spans="1:12" ht="30" customHeight="1">
      <c r="A4" s="52" t="s">
        <v>5</v>
      </c>
      <c r="B4" s="52" t="s">
        <v>1</v>
      </c>
      <c r="C4" s="52" t="s">
        <v>3</v>
      </c>
      <c r="D4" s="52" t="s">
        <v>120</v>
      </c>
      <c r="E4" s="52" t="s">
        <v>90</v>
      </c>
      <c r="F4" s="52" t="s">
        <v>91</v>
      </c>
      <c r="G4" s="52" t="s">
        <v>140</v>
      </c>
      <c r="H4" s="52" t="s">
        <v>127</v>
      </c>
      <c r="I4" s="52" t="s">
        <v>159</v>
      </c>
      <c r="J4" s="52" t="s">
        <v>119</v>
      </c>
      <c r="K4" s="52" t="s">
        <v>26</v>
      </c>
      <c r="L4" s="52" t="s">
        <v>185</v>
      </c>
    </row>
    <row r="5" spans="1:12" ht="15">
      <c r="A5" s="374" t="s">
        <v>93</v>
      </c>
      <c r="B5" s="374"/>
      <c r="C5" s="84"/>
      <c r="D5" s="103">
        <v>0</v>
      </c>
      <c r="E5" s="103">
        <v>0</v>
      </c>
      <c r="F5" s="103">
        <v>0</v>
      </c>
      <c r="G5" s="103">
        <v>0</v>
      </c>
      <c r="H5" s="143">
        <v>0</v>
      </c>
      <c r="I5" s="143"/>
      <c r="J5" s="143"/>
      <c r="K5" s="162">
        <v>0</v>
      </c>
      <c r="L5" s="162">
        <v>0</v>
      </c>
    </row>
    <row r="6" spans="1:12" ht="15.75">
      <c r="A6" s="381" t="s">
        <v>78</v>
      </c>
      <c r="B6" s="381"/>
      <c r="C6" s="48"/>
      <c r="D6" s="48"/>
      <c r="E6" s="48"/>
      <c r="F6" s="48"/>
      <c r="G6" s="48"/>
      <c r="H6" s="48"/>
      <c r="I6" s="48"/>
      <c r="J6" s="48"/>
      <c r="K6" s="48"/>
      <c r="L6" s="48"/>
    </row>
    <row r="7" spans="1:12" ht="30" customHeight="1">
      <c r="A7" s="52" t="s">
        <v>5</v>
      </c>
      <c r="B7" s="52" t="s">
        <v>1</v>
      </c>
      <c r="C7" s="52" t="s">
        <v>3</v>
      </c>
      <c r="D7" s="52" t="s">
        <v>120</v>
      </c>
      <c r="E7" s="52" t="s">
        <v>90</v>
      </c>
      <c r="F7" s="52" t="s">
        <v>91</v>
      </c>
      <c r="G7" s="52" t="s">
        <v>140</v>
      </c>
      <c r="H7" s="52" t="s">
        <v>127</v>
      </c>
      <c r="I7" s="52" t="s">
        <v>159</v>
      </c>
      <c r="J7" s="52" t="s">
        <v>119</v>
      </c>
      <c r="K7" s="52" t="s">
        <v>26</v>
      </c>
      <c r="L7" s="52" t="s">
        <v>185</v>
      </c>
    </row>
    <row r="8" spans="1:12" ht="15" customHeight="1">
      <c r="A8" s="357"/>
      <c r="B8" s="357"/>
      <c r="C8" s="359"/>
      <c r="D8" s="138">
        <v>1</v>
      </c>
      <c r="E8" s="147"/>
      <c r="F8" s="138">
        <v>1</v>
      </c>
      <c r="G8" s="138">
        <v>1</v>
      </c>
      <c r="H8" s="55"/>
      <c r="I8" s="55"/>
      <c r="J8" s="139">
        <v>1915</v>
      </c>
      <c r="K8" s="140">
        <v>80.04</v>
      </c>
      <c r="L8" s="140"/>
    </row>
    <row r="9" spans="1:12" ht="15" customHeight="1">
      <c r="A9" s="357"/>
      <c r="B9" s="357"/>
      <c r="C9" s="359"/>
      <c r="D9" s="138">
        <v>1</v>
      </c>
      <c r="E9" s="147">
        <v>1</v>
      </c>
      <c r="F9" s="138"/>
      <c r="G9" s="138">
        <v>1</v>
      </c>
      <c r="H9" s="55"/>
      <c r="I9" s="55"/>
      <c r="J9" s="139">
        <v>1938</v>
      </c>
      <c r="K9" s="140">
        <f>5.57*12</f>
        <v>66.84</v>
      </c>
      <c r="L9" s="140"/>
    </row>
    <row r="10" spans="1:12" ht="15" customHeight="1">
      <c r="A10" s="357"/>
      <c r="B10" s="357"/>
      <c r="C10" s="359"/>
      <c r="D10" s="138">
        <v>1</v>
      </c>
      <c r="E10" s="138"/>
      <c r="F10" s="138">
        <v>1</v>
      </c>
      <c r="G10" s="138">
        <v>1</v>
      </c>
      <c r="H10" s="55"/>
      <c r="I10" s="55"/>
      <c r="J10" s="139">
        <v>1940</v>
      </c>
      <c r="K10" s="140">
        <v>114.96</v>
      </c>
      <c r="L10" s="140"/>
    </row>
    <row r="11" spans="1:12" ht="15" customHeight="1">
      <c r="A11" s="357"/>
      <c r="B11" s="357"/>
      <c r="C11" s="359"/>
      <c r="D11" s="138">
        <v>1</v>
      </c>
      <c r="E11" s="138">
        <v>1</v>
      </c>
      <c r="F11" s="138"/>
      <c r="G11" s="138">
        <v>1</v>
      </c>
      <c r="H11" s="55"/>
      <c r="I11" s="55"/>
      <c r="J11" s="139">
        <v>1936</v>
      </c>
      <c r="K11" s="140">
        <v>108.24</v>
      </c>
      <c r="L11" s="140"/>
    </row>
    <row r="12" spans="1:12" ht="15" customHeight="1">
      <c r="A12" s="357"/>
      <c r="B12" s="357"/>
      <c r="C12" s="359"/>
      <c r="D12" s="138">
        <v>1</v>
      </c>
      <c r="E12" s="138"/>
      <c r="F12" s="138">
        <v>1</v>
      </c>
      <c r="G12" s="138">
        <v>1</v>
      </c>
      <c r="H12" s="55"/>
      <c r="I12" s="55"/>
      <c r="J12" s="139">
        <v>1925</v>
      </c>
      <c r="K12" s="140">
        <v>167.88</v>
      </c>
      <c r="L12" s="140"/>
    </row>
    <row r="13" spans="1:12" ht="15" customHeight="1">
      <c r="A13" s="357"/>
      <c r="B13" s="357"/>
      <c r="C13" s="359"/>
      <c r="D13" s="138">
        <v>1</v>
      </c>
      <c r="E13" s="138"/>
      <c r="F13" s="138">
        <v>1</v>
      </c>
      <c r="G13" s="138">
        <v>1</v>
      </c>
      <c r="H13" s="55"/>
      <c r="I13" s="55"/>
      <c r="J13" s="139">
        <v>1923</v>
      </c>
      <c r="K13" s="140">
        <v>101.76</v>
      </c>
      <c r="L13" s="140"/>
    </row>
    <row r="14" spans="1:12" ht="15" customHeight="1">
      <c r="A14" s="357"/>
      <c r="B14" s="357"/>
      <c r="C14" s="359"/>
      <c r="D14" s="138">
        <v>1</v>
      </c>
      <c r="E14" s="138"/>
      <c r="F14" s="138">
        <v>1</v>
      </c>
      <c r="G14" s="138">
        <v>1</v>
      </c>
      <c r="H14" s="55"/>
      <c r="I14" s="55"/>
      <c r="J14" s="139">
        <v>1931</v>
      </c>
      <c r="K14" s="140">
        <v>107.16</v>
      </c>
      <c r="L14" s="140"/>
    </row>
    <row r="15" spans="1:12" ht="15" customHeight="1">
      <c r="A15" s="357"/>
      <c r="B15" s="357"/>
      <c r="C15" s="359"/>
      <c r="D15" s="138">
        <v>1</v>
      </c>
      <c r="E15" s="138"/>
      <c r="F15" s="138">
        <v>1</v>
      </c>
      <c r="G15" s="138">
        <v>1</v>
      </c>
      <c r="H15" s="55"/>
      <c r="I15" s="55"/>
      <c r="J15" s="139">
        <v>1926</v>
      </c>
      <c r="K15" s="140">
        <v>180</v>
      </c>
      <c r="L15" s="140"/>
    </row>
    <row r="16" spans="1:12" ht="15" customHeight="1">
      <c r="A16" s="357"/>
      <c r="B16" s="357"/>
      <c r="C16" s="359"/>
      <c r="D16" s="138">
        <v>1</v>
      </c>
      <c r="E16" s="138"/>
      <c r="F16" s="138">
        <v>1</v>
      </c>
      <c r="G16" s="138">
        <v>1</v>
      </c>
      <c r="H16" s="55"/>
      <c r="I16" s="55"/>
      <c r="J16" s="139">
        <v>1928</v>
      </c>
      <c r="K16" s="140">
        <v>70.8</v>
      </c>
      <c r="L16" s="140"/>
    </row>
    <row r="17" spans="1:12" ht="15" customHeight="1">
      <c r="A17" s="357"/>
      <c r="B17" s="357"/>
      <c r="C17" s="359"/>
      <c r="D17" s="138">
        <v>1</v>
      </c>
      <c r="E17" s="138">
        <v>1</v>
      </c>
      <c r="F17" s="138"/>
      <c r="G17" s="138">
        <v>1</v>
      </c>
      <c r="H17" s="55"/>
      <c r="I17" s="55"/>
      <c r="J17" s="139">
        <v>1916</v>
      </c>
      <c r="K17" s="140">
        <v>98.52</v>
      </c>
      <c r="L17" s="140"/>
    </row>
    <row r="18" spans="1:12" ht="15" customHeight="1">
      <c r="A18" s="357"/>
      <c r="B18" s="357"/>
      <c r="C18" s="359"/>
      <c r="D18" s="138">
        <v>1</v>
      </c>
      <c r="E18" s="138">
        <v>1</v>
      </c>
      <c r="F18" s="138"/>
      <c r="G18" s="138">
        <v>1</v>
      </c>
      <c r="H18" s="55"/>
      <c r="I18" s="55"/>
      <c r="J18" s="139">
        <v>1927</v>
      </c>
      <c r="K18" s="140">
        <f>15*12</f>
        <v>180</v>
      </c>
      <c r="L18" s="140"/>
    </row>
    <row r="19" spans="1:12" ht="15" customHeight="1">
      <c r="A19" s="357"/>
      <c r="B19" s="357"/>
      <c r="C19" s="359"/>
      <c r="D19" s="138">
        <v>1</v>
      </c>
      <c r="E19" s="138">
        <v>1</v>
      </c>
      <c r="F19" s="138"/>
      <c r="G19" s="138">
        <v>1</v>
      </c>
      <c r="H19" s="55"/>
      <c r="I19" s="55"/>
      <c r="J19" s="139">
        <v>1947</v>
      </c>
      <c r="K19" s="140">
        <v>0</v>
      </c>
      <c r="L19" s="140"/>
    </row>
    <row r="20" spans="1:12" ht="15" customHeight="1">
      <c r="A20" s="357"/>
      <c r="B20" s="357"/>
      <c r="C20" s="359"/>
      <c r="D20" s="138">
        <v>1</v>
      </c>
      <c r="E20" s="138"/>
      <c r="F20" s="138">
        <v>1</v>
      </c>
      <c r="G20" s="138">
        <v>1</v>
      </c>
      <c r="H20" s="55"/>
      <c r="I20" s="55"/>
      <c r="J20" s="139">
        <v>1932</v>
      </c>
      <c r="K20" s="140">
        <v>55.32</v>
      </c>
      <c r="L20" s="140"/>
    </row>
    <row r="21" spans="1:12" ht="15" customHeight="1">
      <c r="A21" s="357"/>
      <c r="B21" s="357"/>
      <c r="C21" s="359"/>
      <c r="D21" s="138">
        <v>1</v>
      </c>
      <c r="E21" s="138"/>
      <c r="F21" s="138">
        <v>1</v>
      </c>
      <c r="G21" s="138">
        <v>1</v>
      </c>
      <c r="H21" s="55"/>
      <c r="I21" s="55"/>
      <c r="J21" s="139">
        <v>1920</v>
      </c>
      <c r="K21" s="140">
        <v>100.2</v>
      </c>
      <c r="L21" s="140"/>
    </row>
    <row r="22" spans="1:12" ht="15" customHeight="1">
      <c r="A22" s="357"/>
      <c r="B22" s="357"/>
      <c r="C22" s="359"/>
      <c r="D22" s="138">
        <v>1</v>
      </c>
      <c r="E22" s="138"/>
      <c r="F22" s="138">
        <v>1</v>
      </c>
      <c r="G22" s="138">
        <v>1</v>
      </c>
      <c r="H22" s="55"/>
      <c r="I22" s="55"/>
      <c r="J22" s="139">
        <v>1931</v>
      </c>
      <c r="K22" s="140">
        <v>152.88</v>
      </c>
      <c r="L22" s="140"/>
    </row>
    <row r="23" spans="1:12" ht="15" customHeight="1">
      <c r="A23" s="357"/>
      <c r="B23" s="357"/>
      <c r="C23" s="359"/>
      <c r="D23" s="138">
        <v>1</v>
      </c>
      <c r="E23" s="138"/>
      <c r="F23" s="138">
        <v>1</v>
      </c>
      <c r="G23" s="138">
        <v>1</v>
      </c>
      <c r="H23" s="55"/>
      <c r="I23" s="55"/>
      <c r="J23" s="139">
        <v>1919</v>
      </c>
      <c r="K23" s="140">
        <f>12*12</f>
        <v>144</v>
      </c>
      <c r="L23" s="140"/>
    </row>
    <row r="24" spans="1:12" ht="15" customHeight="1">
      <c r="A24" s="357"/>
      <c r="B24" s="357"/>
      <c r="C24" s="359"/>
      <c r="D24" s="138">
        <v>1</v>
      </c>
      <c r="E24" s="138"/>
      <c r="F24" s="138">
        <v>1</v>
      </c>
      <c r="G24" s="138">
        <v>1</v>
      </c>
      <c r="H24" s="55"/>
      <c r="I24" s="55"/>
      <c r="J24" s="139">
        <v>1924</v>
      </c>
      <c r="K24" s="140">
        <f>15*12</f>
        <v>180</v>
      </c>
      <c r="L24" s="140"/>
    </row>
    <row r="25" spans="1:12" ht="15" customHeight="1">
      <c r="A25" s="357"/>
      <c r="B25" s="357"/>
      <c r="C25" s="359"/>
      <c r="D25" s="138">
        <v>1</v>
      </c>
      <c r="E25" s="138"/>
      <c r="F25" s="138">
        <v>1</v>
      </c>
      <c r="G25" s="138">
        <v>1</v>
      </c>
      <c r="H25" s="55"/>
      <c r="I25" s="55"/>
      <c r="J25" s="139">
        <v>1934</v>
      </c>
      <c r="K25" s="140">
        <v>0</v>
      </c>
      <c r="L25" s="140"/>
    </row>
    <row r="26" spans="1:12" ht="15" customHeight="1">
      <c r="A26" s="357"/>
      <c r="B26" s="357"/>
      <c r="C26" s="359"/>
      <c r="D26" s="138">
        <v>1</v>
      </c>
      <c r="E26" s="138"/>
      <c r="F26" s="138">
        <v>1</v>
      </c>
      <c r="G26" s="138">
        <v>1</v>
      </c>
      <c r="H26" s="55"/>
      <c r="I26" s="55"/>
      <c r="J26" s="139">
        <v>1930</v>
      </c>
      <c r="K26" s="140">
        <v>78.6</v>
      </c>
      <c r="L26" s="140"/>
    </row>
    <row r="27" spans="1:12" ht="15" customHeight="1">
      <c r="A27" s="357"/>
      <c r="B27" s="357"/>
      <c r="C27" s="359"/>
      <c r="D27" s="138">
        <v>1</v>
      </c>
      <c r="E27" s="138"/>
      <c r="F27" s="138">
        <v>1</v>
      </c>
      <c r="G27" s="138">
        <v>1</v>
      </c>
      <c r="H27" s="55"/>
      <c r="I27" s="55"/>
      <c r="J27" s="139">
        <v>1914</v>
      </c>
      <c r="K27" s="140">
        <v>120.96</v>
      </c>
      <c r="L27" s="140"/>
    </row>
    <row r="28" spans="1:12" ht="15" customHeight="1">
      <c r="A28" s="357"/>
      <c r="B28" s="357"/>
      <c r="C28" s="359"/>
      <c r="D28" s="138">
        <v>1</v>
      </c>
      <c r="E28" s="138">
        <v>1</v>
      </c>
      <c r="F28" s="138"/>
      <c r="G28" s="138">
        <v>1</v>
      </c>
      <c r="H28" s="55"/>
      <c r="I28" s="55"/>
      <c r="J28" s="139">
        <v>1955</v>
      </c>
      <c r="K28" s="140">
        <v>0</v>
      </c>
      <c r="L28" s="140"/>
    </row>
    <row r="29" spans="1:12" ht="15" customHeight="1">
      <c r="A29" s="357"/>
      <c r="B29" s="357"/>
      <c r="C29" s="359"/>
      <c r="D29" s="138">
        <v>1</v>
      </c>
      <c r="E29" s="138"/>
      <c r="F29" s="138">
        <v>1</v>
      </c>
      <c r="G29" s="138">
        <v>1</v>
      </c>
      <c r="H29" s="55"/>
      <c r="I29" s="55"/>
      <c r="J29" s="139">
        <v>1951</v>
      </c>
      <c r="K29" s="140">
        <v>0</v>
      </c>
      <c r="L29" s="140"/>
    </row>
    <row r="30" spans="1:12" ht="15" customHeight="1">
      <c r="A30" s="357"/>
      <c r="B30" s="357"/>
      <c r="C30" s="359"/>
      <c r="D30" s="138">
        <v>1</v>
      </c>
      <c r="E30" s="138"/>
      <c r="F30" s="138">
        <v>1</v>
      </c>
      <c r="G30" s="138">
        <v>1</v>
      </c>
      <c r="H30" s="55"/>
      <c r="I30" s="55"/>
      <c r="J30" s="139">
        <v>1937</v>
      </c>
      <c r="K30" s="140">
        <v>179.4</v>
      </c>
      <c r="L30" s="140"/>
    </row>
    <row r="31" spans="1:12" ht="15" customHeight="1">
      <c r="A31" s="357"/>
      <c r="B31" s="357"/>
      <c r="C31" s="359"/>
      <c r="D31" s="138">
        <v>1</v>
      </c>
      <c r="E31" s="138">
        <v>1</v>
      </c>
      <c r="F31" s="138"/>
      <c r="G31" s="138">
        <v>1</v>
      </c>
      <c r="H31" s="55"/>
      <c r="I31" s="55"/>
      <c r="J31" s="139">
        <v>1935</v>
      </c>
      <c r="K31" s="140">
        <v>97.2</v>
      </c>
      <c r="L31" s="140"/>
    </row>
    <row r="32" spans="1:12" ht="15" customHeight="1">
      <c r="A32" s="357"/>
      <c r="B32" s="357"/>
      <c r="C32" s="359"/>
      <c r="D32" s="138">
        <v>1</v>
      </c>
      <c r="E32" s="138"/>
      <c r="F32" s="138">
        <v>1</v>
      </c>
      <c r="G32" s="138">
        <v>1</v>
      </c>
      <c r="H32" s="55"/>
      <c r="I32" s="55"/>
      <c r="J32" s="139">
        <v>1916</v>
      </c>
      <c r="K32" s="140">
        <v>180</v>
      </c>
      <c r="L32" s="140"/>
    </row>
    <row r="33" spans="1:12" ht="15" customHeight="1">
      <c r="A33" s="357"/>
      <c r="B33" s="357"/>
      <c r="C33" s="359"/>
      <c r="D33" s="138">
        <v>1</v>
      </c>
      <c r="E33" s="138"/>
      <c r="F33" s="138">
        <v>1</v>
      </c>
      <c r="G33" s="138">
        <v>1</v>
      </c>
      <c r="H33" s="55"/>
      <c r="I33" s="55"/>
      <c r="J33" s="139">
        <v>1931</v>
      </c>
      <c r="K33" s="140">
        <v>9.96</v>
      </c>
      <c r="L33" s="140"/>
    </row>
    <row r="34" spans="1:12" ht="15" customHeight="1">
      <c r="A34" s="357"/>
      <c r="B34" s="357"/>
      <c r="C34" s="359"/>
      <c r="D34" s="138">
        <v>1</v>
      </c>
      <c r="E34" s="138"/>
      <c r="F34" s="138">
        <v>1</v>
      </c>
      <c r="G34" s="138">
        <v>1</v>
      </c>
      <c r="H34" s="55"/>
      <c r="I34" s="55"/>
      <c r="J34" s="139">
        <v>1922</v>
      </c>
      <c r="K34" s="140">
        <f>15*12</f>
        <v>180</v>
      </c>
      <c r="L34" s="140"/>
    </row>
    <row r="35" spans="1:12" ht="15" customHeight="1">
      <c r="A35" s="357"/>
      <c r="B35" s="357"/>
      <c r="C35" s="359"/>
      <c r="D35" s="138">
        <v>1</v>
      </c>
      <c r="E35" s="138"/>
      <c r="F35" s="138">
        <v>1</v>
      </c>
      <c r="G35" s="138">
        <v>1</v>
      </c>
      <c r="H35" s="55"/>
      <c r="I35" s="55"/>
      <c r="J35" s="139">
        <v>1930</v>
      </c>
      <c r="K35" s="140">
        <v>121.92</v>
      </c>
      <c r="L35" s="140"/>
    </row>
    <row r="36" spans="1:12" ht="15" customHeight="1">
      <c r="A36" s="357"/>
      <c r="B36" s="357"/>
      <c r="C36" s="359"/>
      <c r="D36" s="138">
        <v>1</v>
      </c>
      <c r="E36" s="138">
        <v>1</v>
      </c>
      <c r="F36" s="138"/>
      <c r="G36" s="138">
        <v>1</v>
      </c>
      <c r="H36" s="55"/>
      <c r="I36" s="55"/>
      <c r="J36" s="139">
        <v>1917</v>
      </c>
      <c r="K36" s="140">
        <v>180</v>
      </c>
      <c r="L36" s="140"/>
    </row>
    <row r="37" spans="1:12" ht="15" customHeight="1">
      <c r="A37" s="357"/>
      <c r="B37" s="357"/>
      <c r="C37" s="359"/>
      <c r="D37" s="138">
        <v>1</v>
      </c>
      <c r="E37" s="138"/>
      <c r="F37" s="138">
        <v>1</v>
      </c>
      <c r="G37" s="138">
        <v>1</v>
      </c>
      <c r="H37" s="55"/>
      <c r="I37" s="55"/>
      <c r="J37" s="139">
        <v>1923</v>
      </c>
      <c r="K37" s="140">
        <v>84.6</v>
      </c>
      <c r="L37" s="140"/>
    </row>
    <row r="38" spans="1:12" ht="15" customHeight="1">
      <c r="A38" s="357"/>
      <c r="B38" s="357"/>
      <c r="C38" s="359"/>
      <c r="D38" s="138">
        <v>1</v>
      </c>
      <c r="E38" s="138"/>
      <c r="F38" s="138">
        <v>1</v>
      </c>
      <c r="G38" s="138">
        <v>1</v>
      </c>
      <c r="H38" s="55"/>
      <c r="I38" s="55"/>
      <c r="J38" s="139">
        <v>1931</v>
      </c>
      <c r="K38" s="140">
        <v>0</v>
      </c>
      <c r="L38" s="140"/>
    </row>
    <row r="39" spans="1:12" ht="15" customHeight="1">
      <c r="A39" s="357"/>
      <c r="B39" s="357"/>
      <c r="C39" s="359"/>
      <c r="D39" s="138">
        <v>1</v>
      </c>
      <c r="E39" s="138"/>
      <c r="F39" s="138">
        <v>1</v>
      </c>
      <c r="G39" s="138">
        <v>1</v>
      </c>
      <c r="H39" s="55"/>
      <c r="I39" s="55"/>
      <c r="J39" s="139">
        <v>1929</v>
      </c>
      <c r="K39" s="140">
        <v>180</v>
      </c>
      <c r="L39" s="140"/>
    </row>
    <row r="40" spans="1:12" ht="15" customHeight="1">
      <c r="A40" s="357"/>
      <c r="B40" s="357"/>
      <c r="C40" s="359"/>
      <c r="D40" s="138">
        <v>1</v>
      </c>
      <c r="E40" s="138"/>
      <c r="F40" s="138">
        <v>1</v>
      </c>
      <c r="G40" s="138">
        <v>1</v>
      </c>
      <c r="H40" s="55"/>
      <c r="I40" s="55"/>
      <c r="J40" s="139">
        <v>1927</v>
      </c>
      <c r="K40" s="140">
        <v>75.72</v>
      </c>
      <c r="L40" s="140"/>
    </row>
    <row r="41" spans="1:12" ht="15" customHeight="1">
      <c r="A41" s="357"/>
      <c r="B41" s="357"/>
      <c r="C41" s="359"/>
      <c r="D41" s="138">
        <v>1</v>
      </c>
      <c r="E41" s="138"/>
      <c r="F41" s="138">
        <v>1</v>
      </c>
      <c r="G41" s="138">
        <v>1</v>
      </c>
      <c r="H41" s="55"/>
      <c r="I41" s="55"/>
      <c r="J41" s="139">
        <v>1921</v>
      </c>
      <c r="K41" s="140">
        <v>45.36</v>
      </c>
      <c r="L41" s="140"/>
    </row>
    <row r="42" spans="1:12" ht="15" customHeight="1">
      <c r="A42" s="357"/>
      <c r="B42" s="357"/>
      <c r="C42" s="359"/>
      <c r="D42" s="138">
        <v>1</v>
      </c>
      <c r="E42" s="138"/>
      <c r="F42" s="138">
        <v>1</v>
      </c>
      <c r="G42" s="138">
        <v>1</v>
      </c>
      <c r="H42" s="55"/>
      <c r="I42" s="55"/>
      <c r="J42" s="139">
        <v>1931</v>
      </c>
      <c r="K42" s="140">
        <v>180</v>
      </c>
      <c r="L42" s="140"/>
    </row>
    <row r="43" spans="1:13" ht="15">
      <c r="A43" s="374" t="s">
        <v>94</v>
      </c>
      <c r="B43" s="374"/>
      <c r="C43" s="143"/>
      <c r="D43" s="143">
        <f>SUM(D8:D42)</f>
        <v>35</v>
      </c>
      <c r="E43" s="143">
        <f>SUM(E8:E42)</f>
        <v>8</v>
      </c>
      <c r="F43" s="143">
        <f>SUM(F8:F42)</f>
        <v>27</v>
      </c>
      <c r="G43" s="143">
        <f>SUM(G8:G42)</f>
        <v>35</v>
      </c>
      <c r="H43" s="143">
        <f>SUM(H8:H42)</f>
        <v>0</v>
      </c>
      <c r="I43" s="143"/>
      <c r="J43" s="143"/>
      <c r="K43" s="162">
        <f>SUM(K8:K42)</f>
        <v>3622.3199999999997</v>
      </c>
      <c r="L43" s="162">
        <v>9982.96</v>
      </c>
      <c r="M43" s="145"/>
    </row>
    <row r="44" spans="1:12" ht="15.75">
      <c r="A44" s="381" t="s">
        <v>79</v>
      </c>
      <c r="B44" s="381"/>
      <c r="C44" s="48"/>
      <c r="D44" s="48"/>
      <c r="E44" s="48"/>
      <c r="F44" s="48"/>
      <c r="G44" s="48"/>
      <c r="H44" s="48"/>
      <c r="I44" s="48"/>
      <c r="J44" s="48"/>
      <c r="K44" s="48"/>
      <c r="L44" s="48"/>
    </row>
    <row r="45" spans="1:12" ht="30">
      <c r="A45" s="52" t="s">
        <v>5</v>
      </c>
      <c r="B45" s="52" t="s">
        <v>1</v>
      </c>
      <c r="C45" s="52" t="s">
        <v>3</v>
      </c>
      <c r="D45" s="52" t="s">
        <v>120</v>
      </c>
      <c r="E45" s="52" t="s">
        <v>90</v>
      </c>
      <c r="F45" s="52" t="s">
        <v>91</v>
      </c>
      <c r="G45" s="52" t="s">
        <v>140</v>
      </c>
      <c r="H45" s="52" t="s">
        <v>127</v>
      </c>
      <c r="I45" s="52" t="s">
        <v>159</v>
      </c>
      <c r="J45" s="52" t="s">
        <v>119</v>
      </c>
      <c r="K45" s="52" t="s">
        <v>26</v>
      </c>
      <c r="L45" s="52" t="s">
        <v>185</v>
      </c>
    </row>
    <row r="46" spans="1:12" ht="15">
      <c r="A46" s="374" t="s">
        <v>95</v>
      </c>
      <c r="B46" s="374"/>
      <c r="C46" s="143"/>
      <c r="D46" s="103">
        <v>0</v>
      </c>
      <c r="E46" s="103">
        <v>0</v>
      </c>
      <c r="F46" s="103">
        <v>0</v>
      </c>
      <c r="G46" s="103">
        <v>0</v>
      </c>
      <c r="H46" s="143">
        <v>0</v>
      </c>
      <c r="I46" s="143"/>
      <c r="J46" s="143"/>
      <c r="K46" s="162">
        <v>0</v>
      </c>
      <c r="L46" s="162">
        <v>0</v>
      </c>
    </row>
    <row r="47" spans="1:12" ht="15.75">
      <c r="A47" s="381" t="s">
        <v>80</v>
      </c>
      <c r="B47" s="381"/>
      <c r="C47" s="48"/>
      <c r="D47" s="48"/>
      <c r="E47" s="48"/>
      <c r="F47" s="48"/>
      <c r="G47" s="48"/>
      <c r="H47" s="48"/>
      <c r="I47" s="48"/>
      <c r="J47" s="48"/>
      <c r="K47" s="48"/>
      <c r="L47" s="48"/>
    </row>
    <row r="48" spans="1:12" ht="30">
      <c r="A48" s="52" t="s">
        <v>5</v>
      </c>
      <c r="B48" s="52" t="s">
        <v>1</v>
      </c>
      <c r="C48" s="52" t="s">
        <v>3</v>
      </c>
      <c r="D48" s="52" t="s">
        <v>120</v>
      </c>
      <c r="E48" s="52" t="s">
        <v>90</v>
      </c>
      <c r="F48" s="52" t="s">
        <v>91</v>
      </c>
      <c r="G48" s="52" t="s">
        <v>140</v>
      </c>
      <c r="H48" s="52" t="s">
        <v>127</v>
      </c>
      <c r="I48" s="52" t="s">
        <v>159</v>
      </c>
      <c r="J48" s="52" t="s">
        <v>119</v>
      </c>
      <c r="K48" s="52" t="s">
        <v>26</v>
      </c>
      <c r="L48" s="52" t="s">
        <v>185</v>
      </c>
    </row>
    <row r="49" spans="1:12" ht="15" customHeight="1">
      <c r="A49" s="366"/>
      <c r="B49" s="357"/>
      <c r="C49" s="359"/>
      <c r="D49" s="138">
        <v>1</v>
      </c>
      <c r="E49" s="138"/>
      <c r="F49" s="138">
        <v>1</v>
      </c>
      <c r="G49" s="138"/>
      <c r="H49" s="55"/>
      <c r="I49" s="55"/>
      <c r="J49" s="139">
        <v>1932</v>
      </c>
      <c r="K49" s="140">
        <v>186.48</v>
      </c>
      <c r="L49" s="140"/>
    </row>
    <row r="50" spans="1:13" ht="15">
      <c r="A50" s="374" t="s">
        <v>96</v>
      </c>
      <c r="B50" s="374"/>
      <c r="C50" s="143"/>
      <c r="D50" s="143">
        <f>SUM(D49:D49)</f>
        <v>1</v>
      </c>
      <c r="E50" s="143">
        <f>SUM(E49:E49)</f>
        <v>0</v>
      </c>
      <c r="F50" s="143">
        <f>SUM(F49:F49)</f>
        <v>1</v>
      </c>
      <c r="G50" s="143">
        <f>SUM(G49:G49)</f>
        <v>0</v>
      </c>
      <c r="H50" s="143">
        <f>SUM(H49:H49)</f>
        <v>0</v>
      </c>
      <c r="I50" s="143"/>
      <c r="J50" s="143"/>
      <c r="K50" s="162">
        <f>SUM(K49)</f>
        <v>186.48</v>
      </c>
      <c r="L50" s="162">
        <v>245.58</v>
      </c>
      <c r="M50" s="145"/>
    </row>
    <row r="51" spans="1:12" ht="15.75">
      <c r="A51" s="381" t="s">
        <v>81</v>
      </c>
      <c r="B51" s="381"/>
      <c r="C51" s="48"/>
      <c r="D51" s="48"/>
      <c r="E51" s="48"/>
      <c r="F51" s="48"/>
      <c r="G51" s="48"/>
      <c r="H51" s="48"/>
      <c r="I51" s="48"/>
      <c r="J51" s="48"/>
      <c r="K51" s="48"/>
      <c r="L51" s="48"/>
    </row>
    <row r="52" spans="1:12" ht="30">
      <c r="A52" s="52" t="s">
        <v>5</v>
      </c>
      <c r="B52" s="52" t="s">
        <v>1</v>
      </c>
      <c r="C52" s="52" t="s">
        <v>3</v>
      </c>
      <c r="D52" s="52" t="s">
        <v>120</v>
      </c>
      <c r="E52" s="52" t="s">
        <v>90</v>
      </c>
      <c r="F52" s="52" t="s">
        <v>91</v>
      </c>
      <c r="G52" s="52" t="s">
        <v>140</v>
      </c>
      <c r="H52" s="52" t="s">
        <v>127</v>
      </c>
      <c r="I52" s="52" t="s">
        <v>159</v>
      </c>
      <c r="J52" s="52" t="s">
        <v>119</v>
      </c>
      <c r="K52" s="52" t="s">
        <v>26</v>
      </c>
      <c r="L52" s="52" t="s">
        <v>185</v>
      </c>
    </row>
    <row r="53" spans="1:12" ht="15">
      <c r="A53" s="374" t="s">
        <v>97</v>
      </c>
      <c r="B53" s="374"/>
      <c r="C53" s="143"/>
      <c r="D53" s="103">
        <v>0</v>
      </c>
      <c r="E53" s="103">
        <v>0</v>
      </c>
      <c r="F53" s="103">
        <v>0</v>
      </c>
      <c r="G53" s="103">
        <v>0</v>
      </c>
      <c r="H53" s="143">
        <v>0</v>
      </c>
      <c r="I53" s="143"/>
      <c r="J53" s="143"/>
      <c r="K53" s="162">
        <v>0</v>
      </c>
      <c r="L53" s="162">
        <v>0</v>
      </c>
    </row>
    <row r="54" spans="1:12" ht="15.75">
      <c r="A54" s="381" t="s">
        <v>82</v>
      </c>
      <c r="B54" s="381"/>
      <c r="C54" s="48"/>
      <c r="D54" s="48"/>
      <c r="E54" s="48"/>
      <c r="F54" s="48"/>
      <c r="G54" s="48"/>
      <c r="H54" s="48"/>
      <c r="I54" s="48"/>
      <c r="J54" s="48"/>
      <c r="K54" s="48"/>
      <c r="L54" s="48"/>
    </row>
    <row r="55" spans="1:12" ht="30">
      <c r="A55" s="52" t="s">
        <v>5</v>
      </c>
      <c r="B55" s="52" t="s">
        <v>1</v>
      </c>
      <c r="C55" s="52" t="s">
        <v>3</v>
      </c>
      <c r="D55" s="52" t="s">
        <v>120</v>
      </c>
      <c r="E55" s="52" t="s">
        <v>90</v>
      </c>
      <c r="F55" s="52" t="s">
        <v>91</v>
      </c>
      <c r="G55" s="52" t="s">
        <v>140</v>
      </c>
      <c r="H55" s="52" t="s">
        <v>127</v>
      </c>
      <c r="I55" s="52" t="s">
        <v>159</v>
      </c>
      <c r="J55" s="52" t="s">
        <v>119</v>
      </c>
      <c r="K55" s="52" t="s">
        <v>26</v>
      </c>
      <c r="L55" s="52" t="s">
        <v>185</v>
      </c>
    </row>
    <row r="56" spans="1:12" s="56" customFormat="1" ht="15">
      <c r="A56" s="357"/>
      <c r="B56" s="357"/>
      <c r="C56" s="359"/>
      <c r="D56" s="169">
        <v>1</v>
      </c>
      <c r="E56" s="46"/>
      <c r="F56" s="169">
        <v>1</v>
      </c>
      <c r="G56" s="169">
        <v>1</v>
      </c>
      <c r="H56" s="46"/>
      <c r="I56" s="46"/>
      <c r="J56" s="169">
        <v>1924</v>
      </c>
      <c r="K56" s="140">
        <v>165.72</v>
      </c>
      <c r="L56" s="46"/>
    </row>
    <row r="57" spans="1:12" s="56" customFormat="1" ht="15">
      <c r="A57" s="357"/>
      <c r="B57" s="357"/>
      <c r="C57" s="359"/>
      <c r="D57" s="169">
        <v>1</v>
      </c>
      <c r="E57" s="46"/>
      <c r="F57" s="169">
        <v>1</v>
      </c>
      <c r="G57" s="169">
        <v>1</v>
      </c>
      <c r="H57" s="46"/>
      <c r="I57" s="46"/>
      <c r="J57" s="169">
        <v>1923</v>
      </c>
      <c r="K57" s="140">
        <v>165.72</v>
      </c>
      <c r="L57" s="46"/>
    </row>
    <row r="58" spans="1:12" ht="12.75">
      <c r="A58" s="357"/>
      <c r="B58" s="357"/>
      <c r="C58" s="359"/>
      <c r="D58" s="169">
        <v>1</v>
      </c>
      <c r="E58" s="147"/>
      <c r="F58" s="169">
        <v>1</v>
      </c>
      <c r="G58" s="169">
        <v>1</v>
      </c>
      <c r="H58" s="55"/>
      <c r="I58" s="55"/>
      <c r="J58" s="139">
        <v>1943</v>
      </c>
      <c r="K58" s="140">
        <v>0</v>
      </c>
      <c r="L58" s="140"/>
    </row>
    <row r="59" spans="1:13" ht="15">
      <c r="A59" s="374" t="s">
        <v>146</v>
      </c>
      <c r="B59" s="374"/>
      <c r="C59" s="143"/>
      <c r="D59" s="143">
        <f>SUM(D56:D58)</f>
        <v>3</v>
      </c>
      <c r="E59" s="143">
        <f>SUM(E56:E58)</f>
        <v>0</v>
      </c>
      <c r="F59" s="143">
        <f>SUM(F56:F58)</f>
        <v>3</v>
      </c>
      <c r="G59" s="143">
        <f>SUM(G56:G58)</f>
        <v>3</v>
      </c>
      <c r="H59" s="143">
        <f>SUM(H56:H58)</f>
        <v>0</v>
      </c>
      <c r="I59" s="143"/>
      <c r="J59" s="143"/>
      <c r="K59" s="162">
        <f>SUM(K56:K58)</f>
        <v>331.44</v>
      </c>
      <c r="L59" s="162">
        <v>73.68</v>
      </c>
      <c r="M59" s="145"/>
    </row>
    <row r="60" spans="1:12" ht="15.75">
      <c r="A60" s="381" t="s">
        <v>83</v>
      </c>
      <c r="B60" s="381"/>
      <c r="C60" s="48"/>
      <c r="D60" s="48"/>
      <c r="E60" s="48"/>
      <c r="F60" s="48"/>
      <c r="G60" s="48"/>
      <c r="H60" s="48"/>
      <c r="I60" s="48"/>
      <c r="J60" s="48"/>
      <c r="K60" s="48"/>
      <c r="L60" s="48"/>
    </row>
    <row r="61" spans="1:12" ht="30">
      <c r="A61" s="52" t="s">
        <v>5</v>
      </c>
      <c r="B61" s="52" t="s">
        <v>1</v>
      </c>
      <c r="C61" s="52" t="s">
        <v>3</v>
      </c>
      <c r="D61" s="52" t="s">
        <v>120</v>
      </c>
      <c r="E61" s="52" t="s">
        <v>90</v>
      </c>
      <c r="F61" s="52" t="s">
        <v>91</v>
      </c>
      <c r="G61" s="52" t="s">
        <v>140</v>
      </c>
      <c r="H61" s="52" t="s">
        <v>127</v>
      </c>
      <c r="I61" s="52" t="s">
        <v>159</v>
      </c>
      <c r="J61" s="52" t="s">
        <v>119</v>
      </c>
      <c r="K61" s="52" t="s">
        <v>26</v>
      </c>
      <c r="L61" s="52" t="s">
        <v>185</v>
      </c>
    </row>
    <row r="62" spans="1:12" ht="12.75">
      <c r="A62" s="357"/>
      <c r="B62" s="318"/>
      <c r="C62" s="359"/>
      <c r="D62" s="138">
        <v>1</v>
      </c>
      <c r="E62" s="147"/>
      <c r="F62" s="147">
        <v>1</v>
      </c>
      <c r="G62" s="147">
        <v>1</v>
      </c>
      <c r="H62" s="55"/>
      <c r="I62" s="55"/>
      <c r="J62" s="139">
        <v>1920</v>
      </c>
      <c r="K62" s="140">
        <v>72</v>
      </c>
      <c r="L62" s="140"/>
    </row>
    <row r="63" spans="1:12" ht="12.75">
      <c r="A63" s="357"/>
      <c r="B63" s="318"/>
      <c r="C63" s="359"/>
      <c r="D63" s="138">
        <v>1</v>
      </c>
      <c r="E63" s="147"/>
      <c r="F63" s="147">
        <v>1</v>
      </c>
      <c r="G63" s="147">
        <v>1</v>
      </c>
      <c r="H63" s="55"/>
      <c r="I63" s="55"/>
      <c r="J63" s="139">
        <v>1941</v>
      </c>
      <c r="K63" s="140">
        <v>72</v>
      </c>
      <c r="L63" s="140"/>
    </row>
    <row r="64" spans="1:12" ht="12.75">
      <c r="A64" s="357"/>
      <c r="B64" s="318"/>
      <c r="C64" s="359"/>
      <c r="D64" s="138">
        <v>1</v>
      </c>
      <c r="E64" s="147"/>
      <c r="F64" s="147">
        <v>1</v>
      </c>
      <c r="G64" s="147">
        <v>1</v>
      </c>
      <c r="H64" s="55"/>
      <c r="I64" s="55"/>
      <c r="J64" s="139">
        <v>1926</v>
      </c>
      <c r="K64" s="140">
        <v>72</v>
      </c>
      <c r="L64" s="140"/>
    </row>
    <row r="65" spans="1:12" ht="12.75">
      <c r="A65" s="357"/>
      <c r="B65" s="318"/>
      <c r="C65" s="359"/>
      <c r="D65" s="138">
        <v>1</v>
      </c>
      <c r="E65" s="147"/>
      <c r="F65" s="147">
        <v>1</v>
      </c>
      <c r="G65" s="147">
        <v>1</v>
      </c>
      <c r="H65" s="55"/>
      <c r="I65" s="55"/>
      <c r="J65" s="139">
        <v>1926</v>
      </c>
      <c r="K65" s="140">
        <v>72</v>
      </c>
      <c r="L65" s="140"/>
    </row>
    <row r="66" spans="1:12" ht="12.75">
      <c r="A66" s="357"/>
      <c r="B66" s="318"/>
      <c r="C66" s="359"/>
      <c r="D66" s="138">
        <v>1</v>
      </c>
      <c r="E66" s="147"/>
      <c r="F66" s="147">
        <v>1</v>
      </c>
      <c r="G66" s="147">
        <v>1</v>
      </c>
      <c r="H66" s="55"/>
      <c r="I66" s="55"/>
      <c r="J66" s="139">
        <v>1923</v>
      </c>
      <c r="K66" s="140">
        <v>72</v>
      </c>
      <c r="L66" s="140"/>
    </row>
    <row r="67" spans="1:12" ht="12.75">
      <c r="A67" s="357"/>
      <c r="B67" s="318"/>
      <c r="C67" s="359"/>
      <c r="D67" s="138">
        <v>1</v>
      </c>
      <c r="E67" s="147">
        <v>1</v>
      </c>
      <c r="F67" s="147"/>
      <c r="G67" s="147">
        <v>1</v>
      </c>
      <c r="H67" s="55"/>
      <c r="I67" s="55"/>
      <c r="J67" s="139">
        <v>1938</v>
      </c>
      <c r="K67" s="140">
        <v>72</v>
      </c>
      <c r="L67" s="140"/>
    </row>
    <row r="68" spans="1:12" ht="12.75">
      <c r="A68" s="357"/>
      <c r="B68" s="318"/>
      <c r="C68" s="359"/>
      <c r="D68" s="138">
        <v>1</v>
      </c>
      <c r="E68" s="147"/>
      <c r="F68" s="147">
        <v>1</v>
      </c>
      <c r="G68" s="147">
        <v>1</v>
      </c>
      <c r="H68" s="55"/>
      <c r="I68" s="55"/>
      <c r="J68" s="139">
        <v>1920</v>
      </c>
      <c r="K68" s="140">
        <v>72</v>
      </c>
      <c r="L68" s="140"/>
    </row>
    <row r="69" spans="1:12" ht="12.75">
      <c r="A69" s="357"/>
      <c r="B69" s="318"/>
      <c r="C69" s="359"/>
      <c r="D69" s="138">
        <v>1</v>
      </c>
      <c r="E69" s="147"/>
      <c r="F69" s="147">
        <v>1</v>
      </c>
      <c r="G69" s="147">
        <v>1</v>
      </c>
      <c r="H69" s="55"/>
      <c r="I69" s="55"/>
      <c r="J69" s="139">
        <v>1932</v>
      </c>
      <c r="K69" s="140">
        <v>72</v>
      </c>
      <c r="L69" s="140"/>
    </row>
    <row r="70" spans="1:12" ht="12.75">
      <c r="A70" s="357"/>
      <c r="B70" s="318"/>
      <c r="C70" s="359"/>
      <c r="D70" s="138">
        <v>1</v>
      </c>
      <c r="E70" s="147">
        <v>1</v>
      </c>
      <c r="F70" s="147"/>
      <c r="G70" s="147">
        <v>1</v>
      </c>
      <c r="H70" s="55"/>
      <c r="I70" s="55"/>
      <c r="J70" s="139">
        <v>1926</v>
      </c>
      <c r="K70" s="140">
        <v>72</v>
      </c>
      <c r="L70" s="140"/>
    </row>
    <row r="71" spans="1:12" ht="12.75">
      <c r="A71" s="357"/>
      <c r="B71" s="318"/>
      <c r="C71" s="359"/>
      <c r="D71" s="138">
        <v>1</v>
      </c>
      <c r="E71" s="147">
        <v>1</v>
      </c>
      <c r="F71" s="147"/>
      <c r="G71" s="147">
        <v>1</v>
      </c>
      <c r="H71" s="55"/>
      <c r="I71" s="55"/>
      <c r="J71" s="139">
        <v>1934</v>
      </c>
      <c r="K71" s="140">
        <v>72</v>
      </c>
      <c r="L71" s="140"/>
    </row>
    <row r="72" spans="1:12" ht="12.75">
      <c r="A72" s="357"/>
      <c r="B72" s="318"/>
      <c r="C72" s="359"/>
      <c r="D72" s="138">
        <v>1</v>
      </c>
      <c r="E72" s="147"/>
      <c r="F72" s="147">
        <v>1</v>
      </c>
      <c r="G72" s="147">
        <v>1</v>
      </c>
      <c r="H72" s="55"/>
      <c r="I72" s="55"/>
      <c r="J72" s="139">
        <v>1922</v>
      </c>
      <c r="K72" s="140">
        <v>72</v>
      </c>
      <c r="L72" s="140"/>
    </row>
    <row r="73" spans="1:12" ht="12.75">
      <c r="A73" s="357"/>
      <c r="B73" s="318"/>
      <c r="C73" s="359"/>
      <c r="D73" s="138">
        <v>1</v>
      </c>
      <c r="E73" s="147"/>
      <c r="F73" s="147">
        <v>1</v>
      </c>
      <c r="G73" s="147">
        <v>1</v>
      </c>
      <c r="H73" s="55"/>
      <c r="I73" s="55"/>
      <c r="J73" s="139">
        <v>1938</v>
      </c>
      <c r="K73" s="140">
        <v>72</v>
      </c>
      <c r="L73" s="140"/>
    </row>
    <row r="74" spans="1:12" ht="12.75">
      <c r="A74" s="357"/>
      <c r="B74" s="318"/>
      <c r="C74" s="359"/>
      <c r="D74" s="138">
        <v>1</v>
      </c>
      <c r="E74" s="147"/>
      <c r="F74" s="147">
        <v>1</v>
      </c>
      <c r="G74" s="147">
        <v>1</v>
      </c>
      <c r="H74" s="55"/>
      <c r="I74" s="55"/>
      <c r="J74" s="139">
        <v>1922</v>
      </c>
      <c r="K74" s="140">
        <v>72</v>
      </c>
      <c r="L74" s="140"/>
    </row>
    <row r="75" spans="1:12" ht="12.75">
      <c r="A75" s="357"/>
      <c r="B75" s="318"/>
      <c r="C75" s="359"/>
      <c r="D75" s="138">
        <v>1</v>
      </c>
      <c r="E75" s="147"/>
      <c r="F75" s="147">
        <v>1</v>
      </c>
      <c r="G75" s="147">
        <v>1</v>
      </c>
      <c r="H75" s="55"/>
      <c r="I75" s="55"/>
      <c r="J75" s="139">
        <v>1928</v>
      </c>
      <c r="K75" s="140">
        <v>72</v>
      </c>
      <c r="L75" s="140"/>
    </row>
    <row r="76" spans="1:12" ht="12.75">
      <c r="A76" s="357"/>
      <c r="B76" s="318"/>
      <c r="C76" s="359"/>
      <c r="D76" s="138">
        <v>1</v>
      </c>
      <c r="E76" s="147">
        <v>1</v>
      </c>
      <c r="F76" s="147"/>
      <c r="G76" s="55"/>
      <c r="H76" s="147">
        <v>1</v>
      </c>
      <c r="I76" s="147" t="s">
        <v>4</v>
      </c>
      <c r="J76" s="139">
        <v>1941</v>
      </c>
      <c r="K76" s="140">
        <v>72</v>
      </c>
      <c r="L76" s="140"/>
    </row>
    <row r="77" spans="1:12" ht="12.75">
      <c r="A77" s="357"/>
      <c r="B77" s="318"/>
      <c r="C77" s="359"/>
      <c r="D77" s="138">
        <v>1</v>
      </c>
      <c r="E77" s="147">
        <v>1</v>
      </c>
      <c r="F77" s="147"/>
      <c r="G77" s="147">
        <v>1</v>
      </c>
      <c r="H77" s="55"/>
      <c r="I77" s="55"/>
      <c r="J77" s="139">
        <v>1922</v>
      </c>
      <c r="K77" s="140">
        <v>72</v>
      </c>
      <c r="L77" s="140"/>
    </row>
    <row r="78" spans="1:12" ht="15">
      <c r="A78" s="374" t="s">
        <v>98</v>
      </c>
      <c r="B78" s="374"/>
      <c r="C78" s="143"/>
      <c r="D78" s="143">
        <f>SUM(D62:D77)</f>
        <v>16</v>
      </c>
      <c r="E78" s="143">
        <f>SUM(E62:E77)</f>
        <v>5</v>
      </c>
      <c r="F78" s="143">
        <f>SUM(F62:F77)</f>
        <v>11</v>
      </c>
      <c r="G78" s="143">
        <f>SUM(G62:G77)</f>
        <v>15</v>
      </c>
      <c r="H78" s="143">
        <f>SUM(H62:H77)</f>
        <v>1</v>
      </c>
      <c r="I78" s="143"/>
      <c r="J78" s="143"/>
      <c r="K78" s="162">
        <f>SUM(K62:K77)</f>
        <v>1152</v>
      </c>
      <c r="L78" s="162">
        <v>2937.36</v>
      </c>
    </row>
    <row r="79" spans="1:12" ht="15.75">
      <c r="A79" s="381" t="s">
        <v>84</v>
      </c>
      <c r="B79" s="381"/>
      <c r="C79" s="48"/>
      <c r="D79" s="48"/>
      <c r="E79" s="48"/>
      <c r="F79" s="48"/>
      <c r="G79" s="48"/>
      <c r="H79" s="48"/>
      <c r="I79" s="48"/>
      <c r="J79" s="48"/>
      <c r="K79" s="48"/>
      <c r="L79" s="48"/>
    </row>
    <row r="80" spans="1:12" ht="30">
      <c r="A80" s="52" t="s">
        <v>5</v>
      </c>
      <c r="B80" s="52" t="s">
        <v>1</v>
      </c>
      <c r="C80" s="52" t="s">
        <v>3</v>
      </c>
      <c r="D80" s="52" t="s">
        <v>120</v>
      </c>
      <c r="E80" s="52" t="s">
        <v>90</v>
      </c>
      <c r="F80" s="52" t="s">
        <v>91</v>
      </c>
      <c r="G80" s="52" t="s">
        <v>140</v>
      </c>
      <c r="H80" s="52" t="s">
        <v>127</v>
      </c>
      <c r="I80" s="52" t="s">
        <v>159</v>
      </c>
      <c r="J80" s="52" t="s">
        <v>119</v>
      </c>
      <c r="K80" s="52" t="s">
        <v>26</v>
      </c>
      <c r="L80" s="52" t="s">
        <v>185</v>
      </c>
    </row>
    <row r="81" spans="1:12" ht="15">
      <c r="A81" s="374" t="s">
        <v>99</v>
      </c>
      <c r="B81" s="374"/>
      <c r="C81" s="143"/>
      <c r="D81" s="143">
        <f>SUM(D80:D80)</f>
        <v>0</v>
      </c>
      <c r="E81" s="143">
        <f>SUM(E80:E80)</f>
        <v>0</v>
      </c>
      <c r="F81" s="143">
        <f>SUM(F80:F80)</f>
        <v>0</v>
      </c>
      <c r="G81" s="143">
        <f>SUM(G80:G80)</f>
        <v>0</v>
      </c>
      <c r="H81" s="143">
        <f>SUM(H80:H80)</f>
        <v>0</v>
      </c>
      <c r="I81" s="143"/>
      <c r="J81" s="143"/>
      <c r="K81" s="162">
        <v>0</v>
      </c>
      <c r="L81" s="162">
        <v>0</v>
      </c>
    </row>
    <row r="82" spans="1:12" ht="15.75">
      <c r="A82" s="381" t="s">
        <v>85</v>
      </c>
      <c r="B82" s="381"/>
      <c r="C82" s="48"/>
      <c r="D82" s="48"/>
      <c r="E82" s="48"/>
      <c r="F82" s="48"/>
      <c r="G82" s="48"/>
      <c r="H82" s="48"/>
      <c r="I82" s="48"/>
      <c r="J82" s="48"/>
      <c r="K82" s="48"/>
      <c r="L82" s="48"/>
    </row>
    <row r="83" spans="1:12" ht="30">
      <c r="A83" s="52" t="s">
        <v>5</v>
      </c>
      <c r="B83" s="52" t="s">
        <v>1</v>
      </c>
      <c r="C83" s="52" t="s">
        <v>3</v>
      </c>
      <c r="D83" s="52" t="s">
        <v>120</v>
      </c>
      <c r="E83" s="52" t="s">
        <v>90</v>
      </c>
      <c r="F83" s="52" t="s">
        <v>91</v>
      </c>
      <c r="G83" s="52" t="s">
        <v>140</v>
      </c>
      <c r="H83" s="52" t="s">
        <v>127</v>
      </c>
      <c r="I83" s="52" t="s">
        <v>159</v>
      </c>
      <c r="J83" s="52" t="s">
        <v>119</v>
      </c>
      <c r="K83" s="52" t="s">
        <v>26</v>
      </c>
      <c r="L83" s="52" t="s">
        <v>185</v>
      </c>
    </row>
    <row r="84" spans="1:12" ht="15">
      <c r="A84" s="374" t="s">
        <v>100</v>
      </c>
      <c r="B84" s="374"/>
      <c r="C84" s="143"/>
      <c r="D84" s="143">
        <f>SUM(D83:D83)</f>
        <v>0</v>
      </c>
      <c r="E84" s="143">
        <f>SUM(E83:E83)</f>
        <v>0</v>
      </c>
      <c r="F84" s="143">
        <f>SUM(F83:F83)</f>
        <v>0</v>
      </c>
      <c r="G84" s="143">
        <f>SUM(G83:G83)</f>
        <v>0</v>
      </c>
      <c r="H84" s="143">
        <f>SUM(H83:H83)</f>
        <v>0</v>
      </c>
      <c r="I84" s="143"/>
      <c r="J84" s="143"/>
      <c r="K84" s="162">
        <v>0</v>
      </c>
      <c r="L84" s="162">
        <v>0</v>
      </c>
    </row>
    <row r="85" spans="1:12" ht="15.75">
      <c r="A85" s="309" t="s">
        <v>112</v>
      </c>
      <c r="B85" s="309"/>
      <c r="C85" s="71"/>
      <c r="D85" s="123">
        <v>55</v>
      </c>
      <c r="E85" s="123">
        <v>13</v>
      </c>
      <c r="F85" s="123">
        <v>42</v>
      </c>
      <c r="G85" s="123">
        <v>54</v>
      </c>
      <c r="H85" s="123">
        <v>1</v>
      </c>
      <c r="I85" s="123"/>
      <c r="J85" s="123"/>
      <c r="K85" s="125">
        <v>5292.24</v>
      </c>
      <c r="L85" s="125">
        <v>13239.58</v>
      </c>
    </row>
    <row r="86" spans="5:6" ht="12.75">
      <c r="E86" s="44"/>
      <c r="F86" s="44"/>
    </row>
    <row r="87" spans="1:12" ht="12.75">
      <c r="A87" s="390" t="s">
        <v>45</v>
      </c>
      <c r="B87" s="390"/>
      <c r="C87" s="390"/>
      <c r="D87" s="390"/>
      <c r="E87" s="390"/>
      <c r="F87" s="390"/>
      <c r="G87" s="390"/>
      <c r="H87" s="390"/>
      <c r="I87" s="390"/>
      <c r="J87" s="390"/>
      <c r="K87" s="390"/>
      <c r="L87" s="390"/>
    </row>
    <row r="89" ht="12.75">
      <c r="D89" s="128"/>
    </row>
  </sheetData>
  <mergeCells count="22">
    <mergeCell ref="A87:L87"/>
    <mergeCell ref="A81:B81"/>
    <mergeCell ref="A82:B82"/>
    <mergeCell ref="A84:B84"/>
    <mergeCell ref="A85:B85"/>
    <mergeCell ref="A59:B59"/>
    <mergeCell ref="A60:B60"/>
    <mergeCell ref="A78:B78"/>
    <mergeCell ref="A79:B79"/>
    <mergeCell ref="A50:B50"/>
    <mergeCell ref="A51:B51"/>
    <mergeCell ref="A53:B53"/>
    <mergeCell ref="A54:B54"/>
    <mergeCell ref="A6:B6"/>
    <mergeCell ref="A44:B44"/>
    <mergeCell ref="A46:B46"/>
    <mergeCell ref="A47:B47"/>
    <mergeCell ref="A43:B43"/>
    <mergeCell ref="A3:B3"/>
    <mergeCell ref="A5:B5"/>
    <mergeCell ref="A2:L2"/>
    <mergeCell ref="A1:K1"/>
  </mergeCells>
  <printOptions/>
  <pageMargins left="0.1968503937007874" right="0.1968503937007874" top="0.1968503937007874"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Casalecchio di Reno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fsandrolini</dc:creator>
  <cp:keywords/>
  <dc:description/>
  <cp:lastModifiedBy>LTorri</cp:lastModifiedBy>
  <cp:lastPrinted>2013-05-21T11:16:14Z</cp:lastPrinted>
  <dcterms:created xsi:type="dcterms:W3CDTF">2011-02-02T11:30:34Z</dcterms:created>
  <dcterms:modified xsi:type="dcterms:W3CDTF">2013-05-29T12:17:45Z</dcterms:modified>
  <cp:category/>
  <cp:version/>
  <cp:contentType/>
  <cp:contentStatus/>
</cp:coreProperties>
</file>